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p\Documents\REQETDOS\2010 a 2013\"/>
    </mc:Choice>
  </mc:AlternateContent>
  <bookViews>
    <workbookView xWindow="0" yWindow="0" windowWidth="20490" windowHeight="7755"/>
  </bookViews>
  <sheets>
    <sheet name="ex prod pays 2012" sheetId="1" r:id="rId1"/>
  </sheets>
  <calcPr calcId="0"/>
</workbook>
</file>

<file path=xl/calcChain.xml><?xml version="1.0" encoding="utf-8"?>
<calcChain xmlns="http://schemas.openxmlformats.org/spreadsheetml/2006/main">
  <c r="B3" i="1" l="1"/>
  <c r="B4" i="1"/>
  <c r="B5" i="1"/>
  <c r="B6" i="1"/>
  <c r="B7" i="1"/>
  <c r="B8" i="1"/>
  <c r="B9" i="1"/>
  <c r="C14" i="1"/>
  <c r="D14" i="1"/>
  <c r="C15" i="1"/>
  <c r="D15" i="1"/>
  <c r="A1740" i="1"/>
  <c r="B1740" i="1"/>
  <c r="A16" i="1"/>
  <c r="B16" i="1"/>
  <c r="A17" i="1"/>
  <c r="B17" i="1"/>
  <c r="A18" i="1"/>
  <c r="B18" i="1"/>
  <c r="A19" i="1"/>
  <c r="B19" i="1"/>
  <c r="A20" i="1"/>
  <c r="B20" i="1"/>
  <c r="A21" i="1"/>
  <c r="B21" i="1"/>
  <c r="A22" i="1"/>
  <c r="B22" i="1"/>
  <c r="A23" i="1"/>
  <c r="B23" i="1"/>
  <c r="A24" i="1"/>
  <c r="B24" i="1"/>
  <c r="A25" i="1"/>
  <c r="B25" i="1"/>
  <c r="A26" i="1"/>
  <c r="B26" i="1"/>
  <c r="A27" i="1"/>
  <c r="B27" i="1"/>
  <c r="A28" i="1"/>
  <c r="B28" i="1"/>
  <c r="A29" i="1"/>
  <c r="B29" i="1"/>
  <c r="A30" i="1"/>
  <c r="B30" i="1"/>
  <c r="A31" i="1"/>
  <c r="B31" i="1"/>
  <c r="A32" i="1"/>
  <c r="B32" i="1"/>
  <c r="A33" i="1"/>
  <c r="B33" i="1"/>
  <c r="A34" i="1"/>
  <c r="B34" i="1"/>
  <c r="A35" i="1"/>
  <c r="B35" i="1"/>
  <c r="A36" i="1"/>
  <c r="B36" i="1"/>
  <c r="A37" i="1"/>
  <c r="B37" i="1"/>
  <c r="A38" i="1"/>
  <c r="B38" i="1"/>
  <c r="A39" i="1"/>
  <c r="B39" i="1"/>
  <c r="A40" i="1"/>
  <c r="B40" i="1"/>
  <c r="A41" i="1"/>
  <c r="B41" i="1"/>
  <c r="A42" i="1"/>
  <c r="B42" i="1"/>
  <c r="A43" i="1"/>
  <c r="B43" i="1"/>
  <c r="A44" i="1"/>
  <c r="B44" i="1"/>
  <c r="A45" i="1"/>
  <c r="B45" i="1"/>
  <c r="A46" i="1"/>
  <c r="B46" i="1"/>
  <c r="A47" i="1"/>
  <c r="B47" i="1"/>
  <c r="A48" i="1"/>
  <c r="B48" i="1"/>
  <c r="A49" i="1"/>
  <c r="B49" i="1"/>
  <c r="A50" i="1"/>
  <c r="B50" i="1"/>
  <c r="A51" i="1"/>
  <c r="B51" i="1"/>
  <c r="A52" i="1"/>
  <c r="B52" i="1"/>
  <c r="A53" i="1"/>
  <c r="B53" i="1"/>
  <c r="A54" i="1"/>
  <c r="B54" i="1"/>
  <c r="A55" i="1"/>
  <c r="B55" i="1"/>
  <c r="A56" i="1"/>
  <c r="B56" i="1"/>
  <c r="A57" i="1"/>
  <c r="B57" i="1"/>
  <c r="A58" i="1"/>
  <c r="B58" i="1"/>
  <c r="A59" i="1"/>
  <c r="B59" i="1"/>
  <c r="A60" i="1"/>
  <c r="B60" i="1"/>
  <c r="A61" i="1"/>
  <c r="B61" i="1"/>
  <c r="A62" i="1"/>
  <c r="B62" i="1"/>
  <c r="A63" i="1"/>
  <c r="B63" i="1"/>
  <c r="A64" i="1"/>
  <c r="B64" i="1"/>
  <c r="A65" i="1"/>
  <c r="B65" i="1"/>
  <c r="A66" i="1"/>
  <c r="B66" i="1"/>
  <c r="A67" i="1"/>
  <c r="B67" i="1"/>
  <c r="A68" i="1"/>
  <c r="B68" i="1"/>
  <c r="A69" i="1"/>
  <c r="B69" i="1"/>
  <c r="A70" i="1"/>
  <c r="B70" i="1"/>
  <c r="A71" i="1"/>
  <c r="B71" i="1"/>
  <c r="A72" i="1"/>
  <c r="B72" i="1"/>
  <c r="A73" i="1"/>
  <c r="B73" i="1"/>
  <c r="A74" i="1"/>
  <c r="B74" i="1"/>
  <c r="A75" i="1"/>
  <c r="B75" i="1"/>
  <c r="A76" i="1"/>
  <c r="B76" i="1"/>
  <c r="A77" i="1"/>
  <c r="B77" i="1"/>
  <c r="A78" i="1"/>
  <c r="B78" i="1"/>
  <c r="A79" i="1"/>
  <c r="B79" i="1"/>
  <c r="A80" i="1"/>
  <c r="B80" i="1"/>
  <c r="A81" i="1"/>
  <c r="B81" i="1"/>
  <c r="A82" i="1"/>
  <c r="B82" i="1"/>
  <c r="A83" i="1"/>
  <c r="B83" i="1"/>
  <c r="A84" i="1"/>
  <c r="B84" i="1"/>
  <c r="A85" i="1"/>
  <c r="B85" i="1"/>
  <c r="A86" i="1"/>
  <c r="B86" i="1"/>
  <c r="A87" i="1"/>
  <c r="B87" i="1"/>
  <c r="A88" i="1"/>
  <c r="B88" i="1"/>
  <c r="A89" i="1"/>
  <c r="B89" i="1"/>
  <c r="A90" i="1"/>
  <c r="B90" i="1"/>
  <c r="A91" i="1"/>
  <c r="B91" i="1"/>
  <c r="A92" i="1"/>
  <c r="B92" i="1"/>
  <c r="A93" i="1"/>
  <c r="B93" i="1"/>
  <c r="A94" i="1"/>
  <c r="B94" i="1"/>
  <c r="A95" i="1"/>
  <c r="B95" i="1"/>
  <c r="A96" i="1"/>
  <c r="B96" i="1"/>
  <c r="A97" i="1"/>
  <c r="B97" i="1"/>
  <c r="A98" i="1"/>
  <c r="B98" i="1"/>
  <c r="A99" i="1"/>
  <c r="B99" i="1"/>
  <c r="A100" i="1"/>
  <c r="B100" i="1"/>
  <c r="A101" i="1"/>
  <c r="B101" i="1"/>
  <c r="A102" i="1"/>
  <c r="B102" i="1"/>
  <c r="A103" i="1"/>
  <c r="B103" i="1"/>
  <c r="A104" i="1"/>
  <c r="B104" i="1"/>
  <c r="A105" i="1"/>
  <c r="B105" i="1"/>
  <c r="A106" i="1"/>
  <c r="B106" i="1"/>
  <c r="A107" i="1"/>
  <c r="B107" i="1"/>
  <c r="A108" i="1"/>
  <c r="B108" i="1"/>
  <c r="A109" i="1"/>
  <c r="B109" i="1"/>
  <c r="A110" i="1"/>
  <c r="B110" i="1"/>
  <c r="A111" i="1"/>
  <c r="B111" i="1"/>
  <c r="A112" i="1"/>
  <c r="B112" i="1"/>
  <c r="A113" i="1"/>
  <c r="B113" i="1"/>
  <c r="A114" i="1"/>
  <c r="B114" i="1"/>
  <c r="A115" i="1"/>
  <c r="B115" i="1"/>
  <c r="A116" i="1"/>
  <c r="B116" i="1"/>
  <c r="A117" i="1"/>
  <c r="B117" i="1"/>
  <c r="A118" i="1"/>
  <c r="B118" i="1"/>
  <c r="A119" i="1"/>
  <c r="B119" i="1"/>
  <c r="A120" i="1"/>
  <c r="B120" i="1"/>
  <c r="A121" i="1"/>
  <c r="B121" i="1"/>
  <c r="A122" i="1"/>
  <c r="B122" i="1"/>
  <c r="A123" i="1"/>
  <c r="B123" i="1"/>
  <c r="A124" i="1"/>
  <c r="B124" i="1"/>
  <c r="A125" i="1"/>
  <c r="B125" i="1"/>
  <c r="A126" i="1"/>
  <c r="B126" i="1"/>
  <c r="A127" i="1"/>
  <c r="B127" i="1"/>
  <c r="A128" i="1"/>
  <c r="B128" i="1"/>
  <c r="A129" i="1"/>
  <c r="B129" i="1"/>
  <c r="A130" i="1"/>
  <c r="B130" i="1"/>
  <c r="A131" i="1"/>
  <c r="B131" i="1"/>
  <c r="A132" i="1"/>
  <c r="B132" i="1"/>
  <c r="A133" i="1"/>
  <c r="B133" i="1"/>
  <c r="A134" i="1"/>
  <c r="B134" i="1"/>
  <c r="A135" i="1"/>
  <c r="B135" i="1"/>
  <c r="A136" i="1"/>
  <c r="B136" i="1"/>
  <c r="A137" i="1"/>
  <c r="B137" i="1"/>
  <c r="A138" i="1"/>
  <c r="B138" i="1"/>
  <c r="A139" i="1"/>
  <c r="B139" i="1"/>
  <c r="A140" i="1"/>
  <c r="B140" i="1"/>
  <c r="A141" i="1"/>
  <c r="B141" i="1"/>
  <c r="A142" i="1"/>
  <c r="B142" i="1"/>
  <c r="A143" i="1"/>
  <c r="B143" i="1"/>
  <c r="A144" i="1"/>
  <c r="B144" i="1"/>
  <c r="A145" i="1"/>
  <c r="B145" i="1"/>
  <c r="A146" i="1"/>
  <c r="B146" i="1"/>
  <c r="A147" i="1"/>
  <c r="B147" i="1"/>
  <c r="A148" i="1"/>
  <c r="B148" i="1"/>
  <c r="A149" i="1"/>
  <c r="B149" i="1"/>
  <c r="A150" i="1"/>
  <c r="B150" i="1"/>
  <c r="A151" i="1"/>
  <c r="B151" i="1"/>
  <c r="A152" i="1"/>
  <c r="B152" i="1"/>
  <c r="A153" i="1"/>
  <c r="B153" i="1"/>
  <c r="A154" i="1"/>
  <c r="B154" i="1"/>
  <c r="A155" i="1"/>
  <c r="B155" i="1"/>
  <c r="A156" i="1"/>
  <c r="B156" i="1"/>
  <c r="A157" i="1"/>
  <c r="B157" i="1"/>
  <c r="A158" i="1"/>
  <c r="B158" i="1"/>
  <c r="A159" i="1"/>
  <c r="B159" i="1"/>
  <c r="A160" i="1"/>
  <c r="B160" i="1"/>
  <c r="A161" i="1"/>
  <c r="B161" i="1"/>
  <c r="A162" i="1"/>
  <c r="B162" i="1"/>
  <c r="A163" i="1"/>
  <c r="B163" i="1"/>
  <c r="A164" i="1"/>
  <c r="B164" i="1"/>
  <c r="A165" i="1"/>
  <c r="B165" i="1"/>
  <c r="A166" i="1"/>
  <c r="B166" i="1"/>
  <c r="A167" i="1"/>
  <c r="B167" i="1"/>
  <c r="A168" i="1"/>
  <c r="B168" i="1"/>
  <c r="A169" i="1"/>
  <c r="B169" i="1"/>
  <c r="A170" i="1"/>
  <c r="B170" i="1"/>
  <c r="A171" i="1"/>
  <c r="B171" i="1"/>
  <c r="A172" i="1"/>
  <c r="A173" i="1"/>
  <c r="B173" i="1"/>
  <c r="A174" i="1"/>
  <c r="B174" i="1"/>
  <c r="A175" i="1"/>
  <c r="B175" i="1"/>
  <c r="A176" i="1"/>
  <c r="B176" i="1"/>
  <c r="A177" i="1"/>
  <c r="B177" i="1"/>
  <c r="A178" i="1"/>
  <c r="B178" i="1"/>
  <c r="A179" i="1"/>
  <c r="B179" i="1"/>
  <c r="A180" i="1"/>
  <c r="B180" i="1"/>
  <c r="A181" i="1"/>
  <c r="B181" i="1"/>
  <c r="A182" i="1"/>
  <c r="B182" i="1"/>
  <c r="A183" i="1"/>
  <c r="B183" i="1"/>
  <c r="A184" i="1"/>
  <c r="B184" i="1"/>
  <c r="A185" i="1"/>
  <c r="B185" i="1"/>
  <c r="A186" i="1"/>
  <c r="B186" i="1"/>
  <c r="A187" i="1"/>
  <c r="B187" i="1"/>
  <c r="A188" i="1"/>
  <c r="B188" i="1"/>
  <c r="A189" i="1"/>
  <c r="B189" i="1"/>
  <c r="A190" i="1"/>
  <c r="B190" i="1"/>
  <c r="A191" i="1"/>
  <c r="B191" i="1"/>
  <c r="A192" i="1"/>
  <c r="B192" i="1"/>
  <c r="A193" i="1"/>
  <c r="B193" i="1"/>
  <c r="A194" i="1"/>
  <c r="B194" i="1"/>
  <c r="A195" i="1"/>
  <c r="B195" i="1"/>
  <c r="A196" i="1"/>
  <c r="B196" i="1"/>
  <c r="A197" i="1"/>
  <c r="B197" i="1"/>
  <c r="A198" i="1"/>
  <c r="B198" i="1"/>
  <c r="A199" i="1"/>
  <c r="B199" i="1"/>
  <c r="A200" i="1"/>
  <c r="B200" i="1"/>
  <c r="A201" i="1"/>
  <c r="B201" i="1"/>
  <c r="A202" i="1"/>
  <c r="B202" i="1"/>
  <c r="A203" i="1"/>
  <c r="B203" i="1"/>
  <c r="A204" i="1"/>
  <c r="B204" i="1"/>
  <c r="A205" i="1"/>
  <c r="B205" i="1"/>
  <c r="A206" i="1"/>
  <c r="B206" i="1"/>
  <c r="A207" i="1"/>
  <c r="B207" i="1"/>
  <c r="A208" i="1"/>
  <c r="B208" i="1"/>
  <c r="A209" i="1"/>
  <c r="B209" i="1"/>
  <c r="A210" i="1"/>
  <c r="B210" i="1"/>
  <c r="A211" i="1"/>
  <c r="B211" i="1"/>
  <c r="A212" i="1"/>
  <c r="B212" i="1"/>
  <c r="A213" i="1"/>
  <c r="B213" i="1"/>
  <c r="A214" i="1"/>
  <c r="B214" i="1"/>
  <c r="A215" i="1"/>
  <c r="B215" i="1"/>
  <c r="A216" i="1"/>
  <c r="B216" i="1"/>
  <c r="A217" i="1"/>
  <c r="B217" i="1"/>
  <c r="A218" i="1"/>
  <c r="B218" i="1"/>
  <c r="A219" i="1"/>
  <c r="B219" i="1"/>
  <c r="A220" i="1"/>
  <c r="B220" i="1"/>
  <c r="A221" i="1"/>
  <c r="B221" i="1"/>
  <c r="A222" i="1"/>
  <c r="B222" i="1"/>
  <c r="A223" i="1"/>
  <c r="B223" i="1"/>
  <c r="A224" i="1"/>
  <c r="B224" i="1"/>
  <c r="A225" i="1"/>
  <c r="B225" i="1"/>
  <c r="A226" i="1"/>
  <c r="B226" i="1"/>
  <c r="A227" i="1"/>
  <c r="B227" i="1"/>
  <c r="A228" i="1"/>
  <c r="B228" i="1"/>
  <c r="A229" i="1"/>
  <c r="B229" i="1"/>
  <c r="A230" i="1"/>
  <c r="B230" i="1"/>
  <c r="A231" i="1"/>
  <c r="B231" i="1"/>
  <c r="A232" i="1"/>
  <c r="B232" i="1"/>
  <c r="A233" i="1"/>
  <c r="B233" i="1"/>
  <c r="A234" i="1"/>
  <c r="B234" i="1"/>
  <c r="A235" i="1"/>
  <c r="B235" i="1"/>
  <c r="A236" i="1"/>
  <c r="B236" i="1"/>
  <c r="A237" i="1"/>
  <c r="B237" i="1"/>
  <c r="A238" i="1"/>
  <c r="B238" i="1"/>
  <c r="A239" i="1"/>
  <c r="B239" i="1"/>
  <c r="A240" i="1"/>
  <c r="B240" i="1"/>
  <c r="A241" i="1"/>
  <c r="B241" i="1"/>
  <c r="A242" i="1"/>
  <c r="B242" i="1"/>
  <c r="A243" i="1"/>
  <c r="B243" i="1"/>
  <c r="A244" i="1"/>
  <c r="B244" i="1"/>
  <c r="A245" i="1"/>
  <c r="B245" i="1"/>
  <c r="A246" i="1"/>
  <c r="B246" i="1"/>
  <c r="A247" i="1"/>
  <c r="B247" i="1"/>
  <c r="A248" i="1"/>
  <c r="B248" i="1"/>
  <c r="A249" i="1"/>
  <c r="B249" i="1"/>
  <c r="A250" i="1"/>
  <c r="B250" i="1"/>
  <c r="A251" i="1"/>
  <c r="B251" i="1"/>
  <c r="A252" i="1"/>
  <c r="B252" i="1"/>
  <c r="A253" i="1"/>
  <c r="B253" i="1"/>
  <c r="A254" i="1"/>
  <c r="B254" i="1"/>
  <c r="A255" i="1"/>
  <c r="B255" i="1"/>
  <c r="A256" i="1"/>
  <c r="B256" i="1"/>
  <c r="A257" i="1"/>
  <c r="B257" i="1"/>
  <c r="A258" i="1"/>
  <c r="B258" i="1"/>
  <c r="A259" i="1"/>
  <c r="B259" i="1"/>
  <c r="A260" i="1"/>
  <c r="B260" i="1"/>
  <c r="A261" i="1"/>
  <c r="B261" i="1"/>
  <c r="A262" i="1"/>
  <c r="B262" i="1"/>
  <c r="A263" i="1"/>
  <c r="B263" i="1"/>
  <c r="A264" i="1"/>
  <c r="B264" i="1"/>
  <c r="A265" i="1"/>
  <c r="B265" i="1"/>
  <c r="A266" i="1"/>
  <c r="B266" i="1"/>
  <c r="A267" i="1"/>
  <c r="B267" i="1"/>
  <c r="A268" i="1"/>
  <c r="B268" i="1"/>
  <c r="A269" i="1"/>
  <c r="B269" i="1"/>
  <c r="A270" i="1"/>
  <c r="B270" i="1"/>
  <c r="A271" i="1"/>
  <c r="B271" i="1"/>
  <c r="A272" i="1"/>
  <c r="B272" i="1"/>
  <c r="A273" i="1"/>
  <c r="B273" i="1"/>
  <c r="A274" i="1"/>
  <c r="B274" i="1"/>
  <c r="A275" i="1"/>
  <c r="B275" i="1"/>
  <c r="A276" i="1"/>
  <c r="B276" i="1"/>
  <c r="A277" i="1"/>
  <c r="B277" i="1"/>
  <c r="A278" i="1"/>
  <c r="B278" i="1"/>
  <c r="A279" i="1"/>
  <c r="B279" i="1"/>
  <c r="A280" i="1"/>
  <c r="B280" i="1"/>
  <c r="A281" i="1"/>
  <c r="B281" i="1"/>
  <c r="A282" i="1"/>
  <c r="B282" i="1"/>
  <c r="A283" i="1"/>
  <c r="B283" i="1"/>
  <c r="A284" i="1"/>
  <c r="B284" i="1"/>
  <c r="A285" i="1"/>
  <c r="B285" i="1"/>
  <c r="A286" i="1"/>
  <c r="B286" i="1"/>
  <c r="A287" i="1"/>
  <c r="B287" i="1"/>
  <c r="A288" i="1"/>
  <c r="B288" i="1"/>
  <c r="A289" i="1"/>
  <c r="B289" i="1"/>
  <c r="A290" i="1"/>
  <c r="B290" i="1"/>
  <c r="A291" i="1"/>
  <c r="B291" i="1"/>
  <c r="A292" i="1"/>
  <c r="B292" i="1"/>
  <c r="A293" i="1"/>
  <c r="B293" i="1"/>
  <c r="A294" i="1"/>
  <c r="B294" i="1"/>
  <c r="A295" i="1"/>
  <c r="B295" i="1"/>
  <c r="A296" i="1"/>
  <c r="B296" i="1"/>
  <c r="A297" i="1"/>
  <c r="B297" i="1"/>
  <c r="A298" i="1"/>
  <c r="B298" i="1"/>
  <c r="A299" i="1"/>
  <c r="B299" i="1"/>
  <c r="A300" i="1"/>
  <c r="B300" i="1"/>
  <c r="A301" i="1"/>
  <c r="B301" i="1"/>
  <c r="A302" i="1"/>
  <c r="B302" i="1"/>
  <c r="A303" i="1"/>
  <c r="B303" i="1"/>
  <c r="A304" i="1"/>
  <c r="B304" i="1"/>
  <c r="A305" i="1"/>
  <c r="B305" i="1"/>
  <c r="A306" i="1"/>
  <c r="B306" i="1"/>
  <c r="A307" i="1"/>
  <c r="B307" i="1"/>
  <c r="A308" i="1"/>
  <c r="B308" i="1"/>
  <c r="A309" i="1"/>
  <c r="B309" i="1"/>
  <c r="A310" i="1"/>
  <c r="B310" i="1"/>
  <c r="A311" i="1"/>
  <c r="B311" i="1"/>
  <c r="A312" i="1"/>
  <c r="B312" i="1"/>
  <c r="A313" i="1"/>
  <c r="B313" i="1"/>
  <c r="A314" i="1"/>
  <c r="B314" i="1"/>
  <c r="A315" i="1"/>
  <c r="B315" i="1"/>
  <c r="A316" i="1"/>
  <c r="B316" i="1"/>
  <c r="A317" i="1"/>
  <c r="B317" i="1"/>
  <c r="A318" i="1"/>
  <c r="B318" i="1"/>
  <c r="A319" i="1"/>
  <c r="B319" i="1"/>
  <c r="A320" i="1"/>
  <c r="B320" i="1"/>
  <c r="A321" i="1"/>
  <c r="B321" i="1"/>
  <c r="A322" i="1"/>
  <c r="B322" i="1"/>
  <c r="A323" i="1"/>
  <c r="B323" i="1"/>
  <c r="A324" i="1"/>
  <c r="B324" i="1"/>
  <c r="A325" i="1"/>
  <c r="B325" i="1"/>
  <c r="A326" i="1"/>
  <c r="B326" i="1"/>
  <c r="A327" i="1"/>
  <c r="B327" i="1"/>
  <c r="A328" i="1"/>
  <c r="B328" i="1"/>
  <c r="A329" i="1"/>
  <c r="B329" i="1"/>
  <c r="A330" i="1"/>
  <c r="B330" i="1"/>
  <c r="A331" i="1"/>
  <c r="B331" i="1"/>
  <c r="A332" i="1"/>
  <c r="B332" i="1"/>
  <c r="A333" i="1"/>
  <c r="B333" i="1"/>
  <c r="A334" i="1"/>
  <c r="B334" i="1"/>
  <c r="A335" i="1"/>
  <c r="B335" i="1"/>
  <c r="A336" i="1"/>
  <c r="B336" i="1"/>
  <c r="A337" i="1"/>
  <c r="B337" i="1"/>
  <c r="A338" i="1"/>
  <c r="B338" i="1"/>
  <c r="A339" i="1"/>
  <c r="B339" i="1"/>
  <c r="A340" i="1"/>
  <c r="B340" i="1"/>
  <c r="A341" i="1"/>
  <c r="B341" i="1"/>
  <c r="A342" i="1"/>
  <c r="B342" i="1"/>
  <c r="A343" i="1"/>
  <c r="B343" i="1"/>
  <c r="A344" i="1"/>
  <c r="B344" i="1"/>
  <c r="A345" i="1"/>
  <c r="B345" i="1"/>
  <c r="A346" i="1"/>
  <c r="B346" i="1"/>
  <c r="A347" i="1"/>
  <c r="B347" i="1"/>
  <c r="A348" i="1"/>
  <c r="B348" i="1"/>
  <c r="A349" i="1"/>
  <c r="B349" i="1"/>
  <c r="A350" i="1"/>
  <c r="B350" i="1"/>
  <c r="A351" i="1"/>
  <c r="B351" i="1"/>
  <c r="A352" i="1"/>
  <c r="B352" i="1"/>
  <c r="A353" i="1"/>
  <c r="B353" i="1"/>
  <c r="A354" i="1"/>
  <c r="B354" i="1"/>
  <c r="A355" i="1"/>
  <c r="B355" i="1"/>
  <c r="A356" i="1"/>
  <c r="B356" i="1"/>
  <c r="A357" i="1"/>
  <c r="B357" i="1"/>
  <c r="A358" i="1"/>
  <c r="B358" i="1"/>
  <c r="A359" i="1"/>
  <c r="B359" i="1"/>
  <c r="A360" i="1"/>
  <c r="B360" i="1"/>
  <c r="A361" i="1"/>
  <c r="B361" i="1"/>
  <c r="A362" i="1"/>
  <c r="B362" i="1"/>
  <c r="A363" i="1"/>
  <c r="B363" i="1"/>
  <c r="A364" i="1"/>
  <c r="B364" i="1"/>
  <c r="A365" i="1"/>
  <c r="B365" i="1"/>
  <c r="A366" i="1"/>
  <c r="B366" i="1"/>
  <c r="A367" i="1"/>
  <c r="B367" i="1"/>
  <c r="A368" i="1"/>
  <c r="B368" i="1"/>
  <c r="A369" i="1"/>
  <c r="B369" i="1"/>
  <c r="A370" i="1"/>
  <c r="B370" i="1"/>
  <c r="A371" i="1"/>
  <c r="B371" i="1"/>
  <c r="A372" i="1"/>
  <c r="B372" i="1"/>
  <c r="A373" i="1"/>
  <c r="B373" i="1"/>
  <c r="A374" i="1"/>
  <c r="B374" i="1"/>
  <c r="A375" i="1"/>
  <c r="B375" i="1"/>
  <c r="A376" i="1"/>
  <c r="B376" i="1"/>
  <c r="A377" i="1"/>
  <c r="B377" i="1"/>
  <c r="A378" i="1"/>
  <c r="B378" i="1"/>
  <c r="A379" i="1"/>
  <c r="B379" i="1"/>
  <c r="A380" i="1"/>
  <c r="B380" i="1"/>
  <c r="A381" i="1"/>
  <c r="B381" i="1"/>
  <c r="A382" i="1"/>
  <c r="B382" i="1"/>
  <c r="A383" i="1"/>
  <c r="B383" i="1"/>
  <c r="A384" i="1"/>
  <c r="B384" i="1"/>
  <c r="A385" i="1"/>
  <c r="B385" i="1"/>
  <c r="A386" i="1"/>
  <c r="B386" i="1"/>
  <c r="A387" i="1"/>
  <c r="B387" i="1"/>
  <c r="A388" i="1"/>
  <c r="B388" i="1"/>
  <c r="A389" i="1"/>
  <c r="B389" i="1"/>
  <c r="A390" i="1"/>
  <c r="B390" i="1"/>
  <c r="A391" i="1"/>
  <c r="B391" i="1"/>
  <c r="A392" i="1"/>
  <c r="B392" i="1"/>
  <c r="A393" i="1"/>
  <c r="B393" i="1"/>
  <c r="A394" i="1"/>
  <c r="B394" i="1"/>
  <c r="A395" i="1"/>
  <c r="B395" i="1"/>
  <c r="A396" i="1"/>
  <c r="B396" i="1"/>
  <c r="A397" i="1"/>
  <c r="B397" i="1"/>
  <c r="A398" i="1"/>
  <c r="B398" i="1"/>
  <c r="A399" i="1"/>
  <c r="B399" i="1"/>
  <c r="A400" i="1"/>
  <c r="B400" i="1"/>
  <c r="A401" i="1"/>
  <c r="B401" i="1"/>
  <c r="A402" i="1"/>
  <c r="B402" i="1"/>
  <c r="A403" i="1"/>
  <c r="B403" i="1"/>
  <c r="A404" i="1"/>
  <c r="B404" i="1"/>
  <c r="A405" i="1"/>
  <c r="B405" i="1"/>
  <c r="A406" i="1"/>
  <c r="B406" i="1"/>
  <c r="A407" i="1"/>
  <c r="B407" i="1"/>
  <c r="A408" i="1"/>
  <c r="B408" i="1"/>
  <c r="A409" i="1"/>
  <c r="B409" i="1"/>
  <c r="A410" i="1"/>
  <c r="B410" i="1"/>
  <c r="A411" i="1"/>
  <c r="B411" i="1"/>
  <c r="A412" i="1"/>
  <c r="B412" i="1"/>
  <c r="A413" i="1"/>
  <c r="B413" i="1"/>
  <c r="A414" i="1"/>
  <c r="B414" i="1"/>
  <c r="A415" i="1"/>
  <c r="B415" i="1"/>
  <c r="A416" i="1"/>
  <c r="B416" i="1"/>
  <c r="A417" i="1"/>
  <c r="B417" i="1"/>
  <c r="A418" i="1"/>
  <c r="B418" i="1"/>
  <c r="A419" i="1"/>
  <c r="B419" i="1"/>
  <c r="A420" i="1"/>
  <c r="B420" i="1"/>
  <c r="A421" i="1"/>
  <c r="B421" i="1"/>
  <c r="A422" i="1"/>
  <c r="B422" i="1"/>
  <c r="A423" i="1"/>
  <c r="B423" i="1"/>
  <c r="A424" i="1"/>
  <c r="B424" i="1"/>
  <c r="A425" i="1"/>
  <c r="B425" i="1"/>
  <c r="A426" i="1"/>
  <c r="B426" i="1"/>
  <c r="A427" i="1"/>
  <c r="B427" i="1"/>
  <c r="A428" i="1"/>
  <c r="B428" i="1"/>
  <c r="A429" i="1"/>
  <c r="B429" i="1"/>
  <c r="A430" i="1"/>
  <c r="B430" i="1"/>
  <c r="A431" i="1"/>
  <c r="B431" i="1"/>
  <c r="A432" i="1"/>
  <c r="B432" i="1"/>
  <c r="A433" i="1"/>
  <c r="B433" i="1"/>
  <c r="A434" i="1"/>
  <c r="B434" i="1"/>
  <c r="A435" i="1"/>
  <c r="B435" i="1"/>
  <c r="A436" i="1"/>
  <c r="B436" i="1"/>
  <c r="A437" i="1"/>
  <c r="B437" i="1"/>
  <c r="A438" i="1"/>
  <c r="B438" i="1"/>
  <c r="A439" i="1"/>
  <c r="B439" i="1"/>
  <c r="A440" i="1"/>
  <c r="B440" i="1"/>
  <c r="A441" i="1"/>
  <c r="B441" i="1"/>
  <c r="A442" i="1"/>
  <c r="B442" i="1"/>
  <c r="A443" i="1"/>
  <c r="B443" i="1"/>
  <c r="A444" i="1"/>
  <c r="B444" i="1"/>
  <c r="A445" i="1"/>
  <c r="B445" i="1"/>
  <c r="A446" i="1"/>
  <c r="B446" i="1"/>
  <c r="A447" i="1"/>
  <c r="B447" i="1"/>
  <c r="A448" i="1"/>
  <c r="B448" i="1"/>
  <c r="A449" i="1"/>
  <c r="B449" i="1"/>
  <c r="A450" i="1"/>
  <c r="B450" i="1"/>
  <c r="A451" i="1"/>
  <c r="B451" i="1"/>
  <c r="A452" i="1"/>
  <c r="B452" i="1"/>
  <c r="A453" i="1"/>
  <c r="B453" i="1"/>
  <c r="A454" i="1"/>
  <c r="B454" i="1"/>
  <c r="A455" i="1"/>
  <c r="B455" i="1"/>
  <c r="A456" i="1"/>
  <c r="B456" i="1"/>
  <c r="A457" i="1"/>
  <c r="B457" i="1"/>
  <c r="A458" i="1"/>
  <c r="B458" i="1"/>
  <c r="A459" i="1"/>
  <c r="B459" i="1"/>
  <c r="A460" i="1"/>
  <c r="B460" i="1"/>
  <c r="A461" i="1"/>
  <c r="B461" i="1"/>
  <c r="A462" i="1"/>
  <c r="B462" i="1"/>
  <c r="A463" i="1"/>
  <c r="B463" i="1"/>
  <c r="A464" i="1"/>
  <c r="B464" i="1"/>
  <c r="A465" i="1"/>
  <c r="B465" i="1"/>
  <c r="A466" i="1"/>
  <c r="B466" i="1"/>
  <c r="A467" i="1"/>
  <c r="B467" i="1"/>
  <c r="A468" i="1"/>
  <c r="B468" i="1"/>
  <c r="A469" i="1"/>
  <c r="B469" i="1"/>
  <c r="A470" i="1"/>
  <c r="B470" i="1"/>
  <c r="A471" i="1"/>
  <c r="B471" i="1"/>
  <c r="A472" i="1"/>
  <c r="B472" i="1"/>
  <c r="A473" i="1"/>
  <c r="B473" i="1"/>
  <c r="A474" i="1"/>
  <c r="B474" i="1"/>
  <c r="A475" i="1"/>
  <c r="B475" i="1"/>
  <c r="A476" i="1"/>
  <c r="B476" i="1"/>
  <c r="A477" i="1"/>
  <c r="B477" i="1"/>
  <c r="A478" i="1"/>
  <c r="B478" i="1"/>
  <c r="A479" i="1"/>
  <c r="B479" i="1"/>
  <c r="A480" i="1"/>
  <c r="B480" i="1"/>
  <c r="A481" i="1"/>
  <c r="B481" i="1"/>
  <c r="A482" i="1"/>
  <c r="B482" i="1"/>
  <c r="A483" i="1"/>
  <c r="B483" i="1"/>
  <c r="A484" i="1"/>
  <c r="B484" i="1"/>
  <c r="A485" i="1"/>
  <c r="B485" i="1"/>
  <c r="A486" i="1"/>
  <c r="B486" i="1"/>
  <c r="A487" i="1"/>
  <c r="B487" i="1"/>
  <c r="A488" i="1"/>
  <c r="B488" i="1"/>
  <c r="A489" i="1"/>
  <c r="B489" i="1"/>
  <c r="A490" i="1"/>
  <c r="B490" i="1"/>
  <c r="A491" i="1"/>
  <c r="B491" i="1"/>
  <c r="A492" i="1"/>
  <c r="B492" i="1"/>
  <c r="A493" i="1"/>
  <c r="B493" i="1"/>
  <c r="A494" i="1"/>
  <c r="B494" i="1"/>
  <c r="A495" i="1"/>
  <c r="B495" i="1"/>
  <c r="A496" i="1"/>
  <c r="B496" i="1"/>
  <c r="A497" i="1"/>
  <c r="B497" i="1"/>
  <c r="A498" i="1"/>
  <c r="B498" i="1"/>
  <c r="A499" i="1"/>
  <c r="B499" i="1"/>
  <c r="A500" i="1"/>
  <c r="B500" i="1"/>
  <c r="A501" i="1"/>
  <c r="B501" i="1"/>
  <c r="A502" i="1"/>
  <c r="B502" i="1"/>
  <c r="A503" i="1"/>
  <c r="B503" i="1"/>
  <c r="A504" i="1"/>
  <c r="B504" i="1"/>
  <c r="A505" i="1"/>
  <c r="B505" i="1"/>
  <c r="A506" i="1"/>
  <c r="B506" i="1"/>
  <c r="A507" i="1"/>
  <c r="B507" i="1"/>
  <c r="A508" i="1"/>
  <c r="B508" i="1"/>
  <c r="A509" i="1"/>
  <c r="B509" i="1"/>
  <c r="A510" i="1"/>
  <c r="B510" i="1"/>
  <c r="A511" i="1"/>
  <c r="B511" i="1"/>
  <c r="A512" i="1"/>
  <c r="B512" i="1"/>
  <c r="A513" i="1"/>
  <c r="B513" i="1"/>
  <c r="A514" i="1"/>
  <c r="B514" i="1"/>
  <c r="A515" i="1"/>
  <c r="B515" i="1"/>
  <c r="A516" i="1"/>
  <c r="B516" i="1"/>
  <c r="A517" i="1"/>
  <c r="B517" i="1"/>
  <c r="A518" i="1"/>
  <c r="B518" i="1"/>
  <c r="A519" i="1"/>
  <c r="B519" i="1"/>
  <c r="A520" i="1"/>
  <c r="B520" i="1"/>
  <c r="A521" i="1"/>
  <c r="B521" i="1"/>
  <c r="A522" i="1"/>
  <c r="B522" i="1"/>
  <c r="A523" i="1"/>
  <c r="B523" i="1"/>
  <c r="A524" i="1"/>
  <c r="B524" i="1"/>
  <c r="A525" i="1"/>
  <c r="B525" i="1"/>
  <c r="A526" i="1"/>
  <c r="B526" i="1"/>
  <c r="A527" i="1"/>
  <c r="B527" i="1"/>
  <c r="A528" i="1"/>
  <c r="B528" i="1"/>
  <c r="A529" i="1"/>
  <c r="B529" i="1"/>
  <c r="A530" i="1"/>
  <c r="B530" i="1"/>
  <c r="A531" i="1"/>
  <c r="B531" i="1"/>
  <c r="A532" i="1"/>
  <c r="B532" i="1"/>
  <c r="A533" i="1"/>
  <c r="B533" i="1"/>
  <c r="A534" i="1"/>
  <c r="B534" i="1"/>
  <c r="A535" i="1"/>
  <c r="B535" i="1"/>
  <c r="A536" i="1"/>
  <c r="B536" i="1"/>
  <c r="A537" i="1"/>
  <c r="B537" i="1"/>
  <c r="A538" i="1"/>
  <c r="B538" i="1"/>
  <c r="A539" i="1"/>
  <c r="B539" i="1"/>
  <c r="A540" i="1"/>
  <c r="B540" i="1"/>
  <c r="A541" i="1"/>
  <c r="B541" i="1"/>
  <c r="A542" i="1"/>
  <c r="B542" i="1"/>
  <c r="A543" i="1"/>
  <c r="B543" i="1"/>
  <c r="A544" i="1"/>
  <c r="B544" i="1"/>
  <c r="A545" i="1"/>
  <c r="B545" i="1"/>
  <c r="A546" i="1"/>
  <c r="B546" i="1"/>
  <c r="A547" i="1"/>
  <c r="B547" i="1"/>
  <c r="A548" i="1"/>
  <c r="B548" i="1"/>
  <c r="A549" i="1"/>
  <c r="B549" i="1"/>
  <c r="A550" i="1"/>
  <c r="B550" i="1"/>
  <c r="A551" i="1"/>
  <c r="B551" i="1"/>
  <c r="A552" i="1"/>
  <c r="B552" i="1"/>
  <c r="A553" i="1"/>
  <c r="B553" i="1"/>
  <c r="A554" i="1"/>
  <c r="B554" i="1"/>
  <c r="A555" i="1"/>
  <c r="B555" i="1"/>
  <c r="A556" i="1"/>
  <c r="B556" i="1"/>
  <c r="A557" i="1"/>
  <c r="B557" i="1"/>
  <c r="A558" i="1"/>
  <c r="B558" i="1"/>
  <c r="A559" i="1"/>
  <c r="B559" i="1"/>
  <c r="A560" i="1"/>
  <c r="B560" i="1"/>
  <c r="A561" i="1"/>
  <c r="B561" i="1"/>
  <c r="A562" i="1"/>
  <c r="B562" i="1"/>
  <c r="A563" i="1"/>
  <c r="B563" i="1"/>
  <c r="A564" i="1"/>
  <c r="B564" i="1"/>
  <c r="A565" i="1"/>
  <c r="B565" i="1"/>
  <c r="A566" i="1"/>
  <c r="B566" i="1"/>
  <c r="A567" i="1"/>
  <c r="B567" i="1"/>
  <c r="A568" i="1"/>
  <c r="B568" i="1"/>
  <c r="A569" i="1"/>
  <c r="B569" i="1"/>
  <c r="A570" i="1"/>
  <c r="B570" i="1"/>
  <c r="A571" i="1"/>
  <c r="B571" i="1"/>
  <c r="A572" i="1"/>
  <c r="B572" i="1"/>
  <c r="A573" i="1"/>
  <c r="B573" i="1"/>
  <c r="A574" i="1"/>
  <c r="B574" i="1"/>
  <c r="A575" i="1"/>
  <c r="B575" i="1"/>
  <c r="A576" i="1"/>
  <c r="B576" i="1"/>
  <c r="A577" i="1"/>
  <c r="B577" i="1"/>
  <c r="A578" i="1"/>
  <c r="B578" i="1"/>
  <c r="A579" i="1"/>
  <c r="B579" i="1"/>
  <c r="A580" i="1"/>
  <c r="B580" i="1"/>
  <c r="A581" i="1"/>
  <c r="B581" i="1"/>
  <c r="A582" i="1"/>
  <c r="B582" i="1"/>
  <c r="A583" i="1"/>
  <c r="B583" i="1"/>
  <c r="A584" i="1"/>
  <c r="B584" i="1"/>
  <c r="A585" i="1"/>
  <c r="B585" i="1"/>
  <c r="A586" i="1"/>
  <c r="B586" i="1"/>
  <c r="A587" i="1"/>
  <c r="B587" i="1"/>
  <c r="A588" i="1"/>
  <c r="B588" i="1"/>
  <c r="A589" i="1"/>
  <c r="B589" i="1"/>
  <c r="A590" i="1"/>
  <c r="B590" i="1"/>
  <c r="A591" i="1"/>
  <c r="B591" i="1"/>
  <c r="A592" i="1"/>
  <c r="B592" i="1"/>
  <c r="A593" i="1"/>
  <c r="B593" i="1"/>
  <c r="A594" i="1"/>
  <c r="B594" i="1"/>
  <c r="A595" i="1"/>
  <c r="B595" i="1"/>
  <c r="A596" i="1"/>
  <c r="B596" i="1"/>
  <c r="A597" i="1"/>
  <c r="B597" i="1"/>
  <c r="A598" i="1"/>
  <c r="B598" i="1"/>
  <c r="A599" i="1"/>
  <c r="B599" i="1"/>
  <c r="A600" i="1"/>
  <c r="B600" i="1"/>
  <c r="A601" i="1"/>
  <c r="B601" i="1"/>
  <c r="A602" i="1"/>
  <c r="B602" i="1"/>
  <c r="A603" i="1"/>
  <c r="B603" i="1"/>
  <c r="A604" i="1"/>
  <c r="B604" i="1"/>
  <c r="A605" i="1"/>
  <c r="B605" i="1"/>
  <c r="A606" i="1"/>
  <c r="B606" i="1"/>
  <c r="A607" i="1"/>
  <c r="B607" i="1"/>
  <c r="A608" i="1"/>
  <c r="B608" i="1"/>
  <c r="A609" i="1"/>
  <c r="B609" i="1"/>
  <c r="A610" i="1"/>
  <c r="B610" i="1"/>
  <c r="A611" i="1"/>
  <c r="B611" i="1"/>
  <c r="A612" i="1"/>
  <c r="B612" i="1"/>
  <c r="A613" i="1"/>
  <c r="B613" i="1"/>
  <c r="A614" i="1"/>
  <c r="B614" i="1"/>
  <c r="A615" i="1"/>
  <c r="B615" i="1"/>
  <c r="A616" i="1"/>
  <c r="A617" i="1"/>
  <c r="B617" i="1"/>
  <c r="A618" i="1"/>
  <c r="B618" i="1"/>
  <c r="A619" i="1"/>
  <c r="B619" i="1"/>
  <c r="A620" i="1"/>
  <c r="B620" i="1"/>
  <c r="A621" i="1"/>
  <c r="B621" i="1"/>
  <c r="A622" i="1"/>
  <c r="B622" i="1"/>
  <c r="A623" i="1"/>
  <c r="B623" i="1"/>
  <c r="A624" i="1"/>
  <c r="B624" i="1"/>
  <c r="A625" i="1"/>
  <c r="B625" i="1"/>
  <c r="A626" i="1"/>
  <c r="B626" i="1"/>
  <c r="A627" i="1"/>
  <c r="B627" i="1"/>
  <c r="A628" i="1"/>
  <c r="B628" i="1"/>
  <c r="A629" i="1"/>
  <c r="B629" i="1"/>
  <c r="A630" i="1"/>
  <c r="B630" i="1"/>
  <c r="A631" i="1"/>
  <c r="B631" i="1"/>
  <c r="A632" i="1"/>
  <c r="B632" i="1"/>
  <c r="A633" i="1"/>
  <c r="B633" i="1"/>
  <c r="A634" i="1"/>
  <c r="B634" i="1"/>
  <c r="A635" i="1"/>
  <c r="B635" i="1"/>
  <c r="A636" i="1"/>
  <c r="B636" i="1"/>
  <c r="A637" i="1"/>
  <c r="B637" i="1"/>
  <c r="A638" i="1"/>
  <c r="B638" i="1"/>
  <c r="A639" i="1"/>
  <c r="B639" i="1"/>
  <c r="A640" i="1"/>
  <c r="B640" i="1"/>
  <c r="A641" i="1"/>
  <c r="B641" i="1"/>
  <c r="A642" i="1"/>
  <c r="B642" i="1"/>
  <c r="A643" i="1"/>
  <c r="B643" i="1"/>
  <c r="A644" i="1"/>
  <c r="B644" i="1"/>
  <c r="A645" i="1"/>
  <c r="B645" i="1"/>
  <c r="A646" i="1"/>
  <c r="B646" i="1"/>
  <c r="A647" i="1"/>
  <c r="B647" i="1"/>
  <c r="A648" i="1"/>
  <c r="B648" i="1"/>
  <c r="A649" i="1"/>
  <c r="B649" i="1"/>
  <c r="A650" i="1"/>
  <c r="B650" i="1"/>
  <c r="A651" i="1"/>
  <c r="B651" i="1"/>
  <c r="A652" i="1"/>
  <c r="B652" i="1"/>
  <c r="A653" i="1"/>
  <c r="B653" i="1"/>
  <c r="A654" i="1"/>
  <c r="B654" i="1"/>
  <c r="A655" i="1"/>
  <c r="B655" i="1"/>
  <c r="A656" i="1"/>
  <c r="B656" i="1"/>
  <c r="A657" i="1"/>
  <c r="B657" i="1"/>
  <c r="A658" i="1"/>
  <c r="B658" i="1"/>
  <c r="A659" i="1"/>
  <c r="B659" i="1"/>
  <c r="A660" i="1"/>
  <c r="B660" i="1"/>
  <c r="A661" i="1"/>
  <c r="B661" i="1"/>
  <c r="A662" i="1"/>
  <c r="B662" i="1"/>
  <c r="A663" i="1"/>
  <c r="B663" i="1"/>
  <c r="A664" i="1"/>
  <c r="B664" i="1"/>
  <c r="A665" i="1"/>
  <c r="B665" i="1"/>
  <c r="A666" i="1"/>
  <c r="B666" i="1"/>
  <c r="A667" i="1"/>
  <c r="B667" i="1"/>
  <c r="A668" i="1"/>
  <c r="B668" i="1"/>
  <c r="A669" i="1"/>
  <c r="B669" i="1"/>
  <c r="A670" i="1"/>
  <c r="B670" i="1"/>
  <c r="A671" i="1"/>
  <c r="B671" i="1"/>
  <c r="A672" i="1"/>
  <c r="B672" i="1"/>
  <c r="A673" i="1"/>
  <c r="B673" i="1"/>
  <c r="A674" i="1"/>
  <c r="B674" i="1"/>
  <c r="A675" i="1"/>
  <c r="B675" i="1"/>
  <c r="A676" i="1"/>
  <c r="B676" i="1"/>
  <c r="A677" i="1"/>
  <c r="B677" i="1"/>
  <c r="A678" i="1"/>
  <c r="B678" i="1"/>
  <c r="A679" i="1"/>
  <c r="B679" i="1"/>
  <c r="A680" i="1"/>
  <c r="B680" i="1"/>
  <c r="A681" i="1"/>
  <c r="B681" i="1"/>
  <c r="A682" i="1"/>
  <c r="B682" i="1"/>
  <c r="A683" i="1"/>
  <c r="B683" i="1"/>
  <c r="A684" i="1"/>
  <c r="B684" i="1"/>
  <c r="A685" i="1"/>
  <c r="B685" i="1"/>
  <c r="A686" i="1"/>
  <c r="B686" i="1"/>
  <c r="A687" i="1"/>
  <c r="B687" i="1"/>
  <c r="A688" i="1"/>
  <c r="B688" i="1"/>
  <c r="A689" i="1"/>
  <c r="B689" i="1"/>
  <c r="A690" i="1"/>
  <c r="B690" i="1"/>
  <c r="A691" i="1"/>
  <c r="B691" i="1"/>
  <c r="A692" i="1"/>
  <c r="B692" i="1"/>
  <c r="A693" i="1"/>
  <c r="B693" i="1"/>
  <c r="A694" i="1"/>
  <c r="B694" i="1"/>
  <c r="A695" i="1"/>
  <c r="B695" i="1"/>
  <c r="A696" i="1"/>
  <c r="B696" i="1"/>
  <c r="A697" i="1"/>
  <c r="B697" i="1"/>
  <c r="A698" i="1"/>
  <c r="B698" i="1"/>
  <c r="A699" i="1"/>
  <c r="B699" i="1"/>
  <c r="A700" i="1"/>
  <c r="B700" i="1"/>
  <c r="A701" i="1"/>
  <c r="B701" i="1"/>
  <c r="A702" i="1"/>
  <c r="B702" i="1"/>
  <c r="A703" i="1"/>
  <c r="B703" i="1"/>
  <c r="A704" i="1"/>
  <c r="B704" i="1"/>
  <c r="A705" i="1"/>
  <c r="B705" i="1"/>
  <c r="A706" i="1"/>
  <c r="B706" i="1"/>
  <c r="A707" i="1"/>
  <c r="B707" i="1"/>
  <c r="A708" i="1"/>
  <c r="B708" i="1"/>
  <c r="A709" i="1"/>
  <c r="B709" i="1"/>
  <c r="A710" i="1"/>
  <c r="B710" i="1"/>
  <c r="A711" i="1"/>
  <c r="B711" i="1"/>
  <c r="A712" i="1"/>
  <c r="B712" i="1"/>
  <c r="A713" i="1"/>
  <c r="B713" i="1"/>
  <c r="A714" i="1"/>
  <c r="B714" i="1"/>
  <c r="A715" i="1"/>
  <c r="B715" i="1"/>
  <c r="A716" i="1"/>
  <c r="B716" i="1"/>
  <c r="A717" i="1"/>
  <c r="B717" i="1"/>
  <c r="A718" i="1"/>
  <c r="B718" i="1"/>
  <c r="A719" i="1"/>
  <c r="B719" i="1"/>
  <c r="A720" i="1"/>
  <c r="B720" i="1"/>
  <c r="A721" i="1"/>
  <c r="B721" i="1"/>
  <c r="A722" i="1"/>
  <c r="B722" i="1"/>
  <c r="A723" i="1"/>
  <c r="B723" i="1"/>
  <c r="A724" i="1"/>
  <c r="B724" i="1"/>
  <c r="A725" i="1"/>
  <c r="B725" i="1"/>
  <c r="A726" i="1"/>
  <c r="B726" i="1"/>
  <c r="A727" i="1"/>
  <c r="B727" i="1"/>
  <c r="A728" i="1"/>
  <c r="B728" i="1"/>
  <c r="A729" i="1"/>
  <c r="B729" i="1"/>
  <c r="A730" i="1"/>
  <c r="B730" i="1"/>
  <c r="A731" i="1"/>
  <c r="B731" i="1"/>
  <c r="A732" i="1"/>
  <c r="B732" i="1"/>
  <c r="A733" i="1"/>
  <c r="B733" i="1"/>
  <c r="A734" i="1"/>
  <c r="B734" i="1"/>
  <c r="A735" i="1"/>
  <c r="B735" i="1"/>
  <c r="A736" i="1"/>
  <c r="B736" i="1"/>
  <c r="A737" i="1"/>
  <c r="B737" i="1"/>
  <c r="A738" i="1"/>
  <c r="B738" i="1"/>
  <c r="A739" i="1"/>
  <c r="B739" i="1"/>
  <c r="A740" i="1"/>
  <c r="B740" i="1"/>
  <c r="A741" i="1"/>
  <c r="B741" i="1"/>
  <c r="A742" i="1"/>
  <c r="B742" i="1"/>
  <c r="A743" i="1"/>
  <c r="B743" i="1"/>
  <c r="A744" i="1"/>
  <c r="B744" i="1"/>
  <c r="A745" i="1"/>
  <c r="B745" i="1"/>
  <c r="A746" i="1"/>
  <c r="B746" i="1"/>
  <c r="A747" i="1"/>
  <c r="B747" i="1"/>
  <c r="A748" i="1"/>
  <c r="B748" i="1"/>
  <c r="A749" i="1"/>
  <c r="B749" i="1"/>
  <c r="A750" i="1"/>
  <c r="B750" i="1"/>
  <c r="A751" i="1"/>
  <c r="B751" i="1"/>
  <c r="A752" i="1"/>
  <c r="B752" i="1"/>
  <c r="A753" i="1"/>
  <c r="B753" i="1"/>
  <c r="A754" i="1"/>
  <c r="B754" i="1"/>
  <c r="A755" i="1"/>
  <c r="B755" i="1"/>
  <c r="A756" i="1"/>
  <c r="B756" i="1"/>
  <c r="A757" i="1"/>
  <c r="B757" i="1"/>
  <c r="A758" i="1"/>
  <c r="B758" i="1"/>
  <c r="A759" i="1"/>
  <c r="B759" i="1"/>
  <c r="A760" i="1"/>
  <c r="B760" i="1"/>
  <c r="A761" i="1"/>
  <c r="B761" i="1"/>
  <c r="A762" i="1"/>
  <c r="B762" i="1"/>
  <c r="A763" i="1"/>
  <c r="B763" i="1"/>
  <c r="A764" i="1"/>
  <c r="B764" i="1"/>
  <c r="A765" i="1"/>
  <c r="B765" i="1"/>
  <c r="A766" i="1"/>
  <c r="B766" i="1"/>
  <c r="A767" i="1"/>
  <c r="B767" i="1"/>
  <c r="A768" i="1"/>
  <c r="B768" i="1"/>
  <c r="A769" i="1"/>
  <c r="B769" i="1"/>
  <c r="A770" i="1"/>
  <c r="B770" i="1"/>
  <c r="A771" i="1"/>
  <c r="B771" i="1"/>
  <c r="A772" i="1"/>
  <c r="B772" i="1"/>
  <c r="A773" i="1"/>
  <c r="B773" i="1"/>
  <c r="A774" i="1"/>
  <c r="B774" i="1"/>
  <c r="A775" i="1"/>
  <c r="B775" i="1"/>
  <c r="A776" i="1"/>
  <c r="B776" i="1"/>
  <c r="A777" i="1"/>
  <c r="B777" i="1"/>
  <c r="A778" i="1"/>
  <c r="B778" i="1"/>
  <c r="A779" i="1"/>
  <c r="B779" i="1"/>
  <c r="A780" i="1"/>
  <c r="B780" i="1"/>
  <c r="A781" i="1"/>
  <c r="B781" i="1"/>
  <c r="A782" i="1"/>
  <c r="B782" i="1"/>
  <c r="A783" i="1"/>
  <c r="B783" i="1"/>
  <c r="A784" i="1"/>
  <c r="B784" i="1"/>
  <c r="A785" i="1"/>
  <c r="B785" i="1"/>
  <c r="A786" i="1"/>
  <c r="B786" i="1"/>
  <c r="A787" i="1"/>
  <c r="B787" i="1"/>
  <c r="A788" i="1"/>
  <c r="B788" i="1"/>
  <c r="A789" i="1"/>
  <c r="B789" i="1"/>
  <c r="A790" i="1"/>
  <c r="B790" i="1"/>
  <c r="A791" i="1"/>
  <c r="B791" i="1"/>
  <c r="A792" i="1"/>
  <c r="B792" i="1"/>
  <c r="A793" i="1"/>
  <c r="B793" i="1"/>
  <c r="A794" i="1"/>
  <c r="B794" i="1"/>
  <c r="A795" i="1"/>
  <c r="B795" i="1"/>
  <c r="A796" i="1"/>
  <c r="B796" i="1"/>
  <c r="A797" i="1"/>
  <c r="B797" i="1"/>
  <c r="A798" i="1"/>
  <c r="B798" i="1"/>
  <c r="A799" i="1"/>
  <c r="B799" i="1"/>
  <c r="A800" i="1"/>
  <c r="B800" i="1"/>
  <c r="A801" i="1"/>
  <c r="B801" i="1"/>
  <c r="A802" i="1"/>
  <c r="B802" i="1"/>
  <c r="A803" i="1"/>
  <c r="B803" i="1"/>
  <c r="A804" i="1"/>
  <c r="B804" i="1"/>
  <c r="A805" i="1"/>
  <c r="B805" i="1"/>
  <c r="A806" i="1"/>
  <c r="B806" i="1"/>
  <c r="A807" i="1"/>
  <c r="B807" i="1"/>
  <c r="A808" i="1"/>
  <c r="B808" i="1"/>
  <c r="A809" i="1"/>
  <c r="B809" i="1"/>
  <c r="A810" i="1"/>
  <c r="B810" i="1"/>
  <c r="A811" i="1"/>
  <c r="B811" i="1"/>
  <c r="A812" i="1"/>
  <c r="B812" i="1"/>
  <c r="A813" i="1"/>
  <c r="B813" i="1"/>
  <c r="A814" i="1"/>
  <c r="B814" i="1"/>
  <c r="A815" i="1"/>
  <c r="B815" i="1"/>
  <c r="A816" i="1"/>
  <c r="B816" i="1"/>
  <c r="A817" i="1"/>
  <c r="B817" i="1"/>
  <c r="A818" i="1"/>
  <c r="B818" i="1"/>
  <c r="A819" i="1"/>
  <c r="B819" i="1"/>
  <c r="A820" i="1"/>
  <c r="B820" i="1"/>
  <c r="A821" i="1"/>
  <c r="B821" i="1"/>
  <c r="A822" i="1"/>
  <c r="B822" i="1"/>
  <c r="A823" i="1"/>
  <c r="B823" i="1"/>
  <c r="A824" i="1"/>
  <c r="B824" i="1"/>
  <c r="A825" i="1"/>
  <c r="B825" i="1"/>
  <c r="A826" i="1"/>
  <c r="B826" i="1"/>
  <c r="A827" i="1"/>
  <c r="B827" i="1"/>
  <c r="A828" i="1"/>
  <c r="B828" i="1"/>
  <c r="A829" i="1"/>
  <c r="B829" i="1"/>
  <c r="A830" i="1"/>
  <c r="B830" i="1"/>
  <c r="A831" i="1"/>
  <c r="B831" i="1"/>
  <c r="A832" i="1"/>
  <c r="B832" i="1"/>
  <c r="A833" i="1"/>
  <c r="B833" i="1"/>
  <c r="A834" i="1"/>
  <c r="B834" i="1"/>
  <c r="A835" i="1"/>
  <c r="B835" i="1"/>
  <c r="A836" i="1"/>
  <c r="B836" i="1"/>
  <c r="A837" i="1"/>
  <c r="B837" i="1"/>
  <c r="A838" i="1"/>
  <c r="B838" i="1"/>
  <c r="A839" i="1"/>
  <c r="B839" i="1"/>
  <c r="A840" i="1"/>
  <c r="B840" i="1"/>
  <c r="A841" i="1"/>
  <c r="B841" i="1"/>
  <c r="A842" i="1"/>
  <c r="B842" i="1"/>
  <c r="A843" i="1"/>
  <c r="B843" i="1"/>
  <c r="A844" i="1"/>
  <c r="B844" i="1"/>
  <c r="A845" i="1"/>
  <c r="B845" i="1"/>
  <c r="A846" i="1"/>
  <c r="B846" i="1"/>
  <c r="A847" i="1"/>
  <c r="B847" i="1"/>
  <c r="A848" i="1"/>
  <c r="B848" i="1"/>
  <c r="A849" i="1"/>
  <c r="B849" i="1"/>
  <c r="A850" i="1"/>
  <c r="B850" i="1"/>
  <c r="A851" i="1"/>
  <c r="B851" i="1"/>
  <c r="A852" i="1"/>
  <c r="B852" i="1"/>
  <c r="A853" i="1"/>
  <c r="B853" i="1"/>
  <c r="A854" i="1"/>
  <c r="B854" i="1"/>
  <c r="A855" i="1"/>
  <c r="B855" i="1"/>
  <c r="A856" i="1"/>
  <c r="B856" i="1"/>
  <c r="A857" i="1"/>
  <c r="B857" i="1"/>
  <c r="A858" i="1"/>
  <c r="B858" i="1"/>
  <c r="A859" i="1"/>
  <c r="B859" i="1"/>
  <c r="A860" i="1"/>
  <c r="B860" i="1"/>
  <c r="A861" i="1"/>
  <c r="B861" i="1"/>
  <c r="A862" i="1"/>
  <c r="B862" i="1"/>
  <c r="A863" i="1"/>
  <c r="B863" i="1"/>
  <c r="A864" i="1"/>
  <c r="B864" i="1"/>
  <c r="A865" i="1"/>
  <c r="B865" i="1"/>
  <c r="A866" i="1"/>
  <c r="B866" i="1"/>
  <c r="A867" i="1"/>
  <c r="B867" i="1"/>
  <c r="A868" i="1"/>
  <c r="B868" i="1"/>
  <c r="A869" i="1"/>
  <c r="B869" i="1"/>
  <c r="A870" i="1"/>
  <c r="B870" i="1"/>
  <c r="A871" i="1"/>
  <c r="B871" i="1"/>
  <c r="A872" i="1"/>
  <c r="B872" i="1"/>
  <c r="A873" i="1"/>
  <c r="B873" i="1"/>
  <c r="A874" i="1"/>
  <c r="B874" i="1"/>
  <c r="A875" i="1"/>
  <c r="B875" i="1"/>
  <c r="A876" i="1"/>
  <c r="B876" i="1"/>
  <c r="A877" i="1"/>
  <c r="B877" i="1"/>
  <c r="A878" i="1"/>
  <c r="B878" i="1"/>
  <c r="A879" i="1"/>
  <c r="B879" i="1"/>
  <c r="A880" i="1"/>
  <c r="B880" i="1"/>
  <c r="A881" i="1"/>
  <c r="B881" i="1"/>
  <c r="A882" i="1"/>
  <c r="B882" i="1"/>
  <c r="A883" i="1"/>
  <c r="B883" i="1"/>
  <c r="A884" i="1"/>
  <c r="B884" i="1"/>
  <c r="A885" i="1"/>
  <c r="B885" i="1"/>
  <c r="A886" i="1"/>
  <c r="B886" i="1"/>
  <c r="A887" i="1"/>
  <c r="B887" i="1"/>
  <c r="A888" i="1"/>
  <c r="B888" i="1"/>
  <c r="A889" i="1"/>
  <c r="B889" i="1"/>
  <c r="A890" i="1"/>
  <c r="B890" i="1"/>
  <c r="A891" i="1"/>
  <c r="B891" i="1"/>
  <c r="A892" i="1"/>
  <c r="B892" i="1"/>
  <c r="A893" i="1"/>
  <c r="B893" i="1"/>
  <c r="A894" i="1"/>
  <c r="B894" i="1"/>
  <c r="A895" i="1"/>
  <c r="B895" i="1"/>
  <c r="A896" i="1"/>
  <c r="B896" i="1"/>
  <c r="A897" i="1"/>
  <c r="B897" i="1"/>
  <c r="A898" i="1"/>
  <c r="B898" i="1"/>
  <c r="A899" i="1"/>
  <c r="B899" i="1"/>
  <c r="A900" i="1"/>
  <c r="B900" i="1"/>
  <c r="A901" i="1"/>
  <c r="B901" i="1"/>
  <c r="A902" i="1"/>
  <c r="B902" i="1"/>
  <c r="A903" i="1"/>
  <c r="B903" i="1"/>
  <c r="A904" i="1"/>
  <c r="B904" i="1"/>
  <c r="A905" i="1"/>
  <c r="B905" i="1"/>
  <c r="A906" i="1"/>
  <c r="B906" i="1"/>
  <c r="A907" i="1"/>
  <c r="B907" i="1"/>
  <c r="A908" i="1"/>
  <c r="B908" i="1"/>
  <c r="A909" i="1"/>
  <c r="B909" i="1"/>
  <c r="A910" i="1"/>
  <c r="B910" i="1"/>
  <c r="A911" i="1"/>
  <c r="B911" i="1"/>
  <c r="A912" i="1"/>
  <c r="B912" i="1"/>
  <c r="A913" i="1"/>
  <c r="B913" i="1"/>
  <c r="A914" i="1"/>
  <c r="B914" i="1"/>
  <c r="A915" i="1"/>
  <c r="B915" i="1"/>
  <c r="A916" i="1"/>
  <c r="B916" i="1"/>
  <c r="A917" i="1"/>
  <c r="B917" i="1"/>
  <c r="A918" i="1"/>
  <c r="B918" i="1"/>
  <c r="A919" i="1"/>
  <c r="B919" i="1"/>
  <c r="A920" i="1"/>
  <c r="B920" i="1"/>
  <c r="A921" i="1"/>
  <c r="B921" i="1"/>
  <c r="A922" i="1"/>
  <c r="B922" i="1"/>
  <c r="A923" i="1"/>
  <c r="B923" i="1"/>
  <c r="A924" i="1"/>
  <c r="B924" i="1"/>
  <c r="A925" i="1"/>
  <c r="B925" i="1"/>
  <c r="A926" i="1"/>
  <c r="B926" i="1"/>
  <c r="A927" i="1"/>
  <c r="B927" i="1"/>
  <c r="A928" i="1"/>
  <c r="B928" i="1"/>
  <c r="A929" i="1"/>
  <c r="B929" i="1"/>
  <c r="A930" i="1"/>
  <c r="B930" i="1"/>
  <c r="A931" i="1"/>
  <c r="B931" i="1"/>
  <c r="A932" i="1"/>
  <c r="B932" i="1"/>
  <c r="A933" i="1"/>
  <c r="B933" i="1"/>
  <c r="A934" i="1"/>
  <c r="B934" i="1"/>
  <c r="A935" i="1"/>
  <c r="B935" i="1"/>
  <c r="A936" i="1"/>
  <c r="B936" i="1"/>
  <c r="A937" i="1"/>
  <c r="B937" i="1"/>
  <c r="A938" i="1"/>
  <c r="B938" i="1"/>
  <c r="A939" i="1"/>
  <c r="B939" i="1"/>
  <c r="A940" i="1"/>
  <c r="B940" i="1"/>
  <c r="A941" i="1"/>
  <c r="B941" i="1"/>
  <c r="A942" i="1"/>
  <c r="B942" i="1"/>
  <c r="A943" i="1"/>
  <c r="B943" i="1"/>
  <c r="A944" i="1"/>
  <c r="B944" i="1"/>
  <c r="A945" i="1"/>
  <c r="B945" i="1"/>
  <c r="A946" i="1"/>
  <c r="B946" i="1"/>
  <c r="A947" i="1"/>
  <c r="B947" i="1"/>
  <c r="A948" i="1"/>
  <c r="B948" i="1"/>
  <c r="A949" i="1"/>
  <c r="B949" i="1"/>
  <c r="A950" i="1"/>
  <c r="B950" i="1"/>
  <c r="A951" i="1"/>
  <c r="B951" i="1"/>
  <c r="A952" i="1"/>
  <c r="B952" i="1"/>
  <c r="A953" i="1"/>
  <c r="B953" i="1"/>
  <c r="A954" i="1"/>
  <c r="B954" i="1"/>
  <c r="A955" i="1"/>
  <c r="B955" i="1"/>
  <c r="A956" i="1"/>
  <c r="B956" i="1"/>
  <c r="A957" i="1"/>
  <c r="B957" i="1"/>
  <c r="A958" i="1"/>
  <c r="B958" i="1"/>
  <c r="A959" i="1"/>
  <c r="B959" i="1"/>
  <c r="A960" i="1"/>
  <c r="B960" i="1"/>
  <c r="A961" i="1"/>
  <c r="B961" i="1"/>
  <c r="A962" i="1"/>
  <c r="B962" i="1"/>
  <c r="A963" i="1"/>
  <c r="B963" i="1"/>
  <c r="A964" i="1"/>
  <c r="B964" i="1"/>
  <c r="A965" i="1"/>
  <c r="B965" i="1"/>
  <c r="A966" i="1"/>
  <c r="B966" i="1"/>
  <c r="A967" i="1"/>
  <c r="B967" i="1"/>
  <c r="A968" i="1"/>
  <c r="B968" i="1"/>
  <c r="A969" i="1"/>
  <c r="B969" i="1"/>
  <c r="A970" i="1"/>
  <c r="B970" i="1"/>
  <c r="A971" i="1"/>
  <c r="B971" i="1"/>
  <c r="A972" i="1"/>
  <c r="B972" i="1"/>
  <c r="A973" i="1"/>
  <c r="B973" i="1"/>
  <c r="A974" i="1"/>
  <c r="B974" i="1"/>
  <c r="A975" i="1"/>
  <c r="B975" i="1"/>
  <c r="A976" i="1"/>
  <c r="B976" i="1"/>
  <c r="A977" i="1"/>
  <c r="B977" i="1"/>
  <c r="A978" i="1"/>
  <c r="B978" i="1"/>
  <c r="A979" i="1"/>
  <c r="B979" i="1"/>
  <c r="A980" i="1"/>
  <c r="B980" i="1"/>
  <c r="A981" i="1"/>
  <c r="B981" i="1"/>
  <c r="A982" i="1"/>
  <c r="B982" i="1"/>
  <c r="A983" i="1"/>
  <c r="B983" i="1"/>
  <c r="A984" i="1"/>
  <c r="B984" i="1"/>
  <c r="A985" i="1"/>
  <c r="B985" i="1"/>
  <c r="A986" i="1"/>
  <c r="B986" i="1"/>
  <c r="A987" i="1"/>
  <c r="B987" i="1"/>
  <c r="A988" i="1"/>
  <c r="B988" i="1"/>
  <c r="A989" i="1"/>
  <c r="B989" i="1"/>
  <c r="A990" i="1"/>
  <c r="B990" i="1"/>
  <c r="A991" i="1"/>
  <c r="B991" i="1"/>
  <c r="A992" i="1"/>
  <c r="B992" i="1"/>
  <c r="A993" i="1"/>
  <c r="B993" i="1"/>
  <c r="A994" i="1"/>
  <c r="B994" i="1"/>
  <c r="A995" i="1"/>
  <c r="B995" i="1"/>
  <c r="A996" i="1"/>
  <c r="B996" i="1"/>
  <c r="A997" i="1"/>
  <c r="B997" i="1"/>
  <c r="A998" i="1"/>
  <c r="B998" i="1"/>
  <c r="A999" i="1"/>
  <c r="B999" i="1"/>
  <c r="A1000" i="1"/>
  <c r="B1000" i="1"/>
  <c r="A1001" i="1"/>
  <c r="B1001" i="1"/>
  <c r="A1002" i="1"/>
  <c r="B1002" i="1"/>
  <c r="A1003" i="1"/>
  <c r="B1003" i="1"/>
  <c r="A1004" i="1"/>
  <c r="B1004" i="1"/>
  <c r="A1005" i="1"/>
  <c r="B1005" i="1"/>
  <c r="A1006" i="1"/>
  <c r="B1006" i="1"/>
  <c r="A1007" i="1"/>
  <c r="B1007" i="1"/>
  <c r="A1008" i="1"/>
  <c r="B1008" i="1"/>
  <c r="A1009" i="1"/>
  <c r="B1009" i="1"/>
  <c r="A1010" i="1"/>
  <c r="B1010" i="1"/>
  <c r="A1011" i="1"/>
  <c r="B1011" i="1"/>
  <c r="A1012" i="1"/>
  <c r="B1012" i="1"/>
  <c r="A1013" i="1"/>
  <c r="B1013" i="1"/>
  <c r="A1014" i="1"/>
  <c r="B1014" i="1"/>
  <c r="A1015" i="1"/>
  <c r="B1015" i="1"/>
  <c r="A1016" i="1"/>
  <c r="B1016" i="1"/>
  <c r="A1017" i="1"/>
  <c r="B1017" i="1"/>
  <c r="A1018" i="1"/>
  <c r="B1018" i="1"/>
  <c r="A1019" i="1"/>
  <c r="B1019" i="1"/>
  <c r="A1020" i="1"/>
  <c r="B1020" i="1"/>
  <c r="A1021" i="1"/>
  <c r="B1021" i="1"/>
  <c r="A1022" i="1"/>
  <c r="B1022" i="1"/>
  <c r="A1023" i="1"/>
  <c r="B1023" i="1"/>
  <c r="A1024" i="1"/>
  <c r="B1024" i="1"/>
  <c r="A1025" i="1"/>
  <c r="B1025" i="1"/>
  <c r="A1026" i="1"/>
  <c r="B1026" i="1"/>
  <c r="A1027" i="1"/>
  <c r="B1027" i="1"/>
  <c r="A1028" i="1"/>
  <c r="B1028" i="1"/>
  <c r="A1029" i="1"/>
  <c r="B1029" i="1"/>
  <c r="A1030" i="1"/>
  <c r="B1030" i="1"/>
  <c r="A1031" i="1"/>
  <c r="B1031" i="1"/>
  <c r="A1032" i="1"/>
  <c r="B1032" i="1"/>
  <c r="A1033" i="1"/>
  <c r="B1033" i="1"/>
  <c r="A1034" i="1"/>
  <c r="B1034" i="1"/>
  <c r="A1035" i="1"/>
  <c r="B1035" i="1"/>
  <c r="A1036" i="1"/>
  <c r="B1036" i="1"/>
  <c r="A1037" i="1"/>
  <c r="B1037" i="1"/>
  <c r="A1038" i="1"/>
  <c r="B1038" i="1"/>
  <c r="A1039" i="1"/>
  <c r="B1039" i="1"/>
  <c r="A1040" i="1"/>
  <c r="B1040" i="1"/>
  <c r="A1041" i="1"/>
  <c r="B1041" i="1"/>
  <c r="A1042" i="1"/>
  <c r="B1042" i="1"/>
  <c r="A1043" i="1"/>
  <c r="B1043" i="1"/>
  <c r="A1044" i="1"/>
  <c r="B1044" i="1"/>
  <c r="A1045" i="1"/>
  <c r="B1045" i="1"/>
  <c r="A1046" i="1"/>
  <c r="B1046" i="1"/>
  <c r="A1047" i="1"/>
  <c r="B1047" i="1"/>
  <c r="A1048" i="1"/>
  <c r="B1048" i="1"/>
  <c r="A1049" i="1"/>
  <c r="B1049" i="1"/>
  <c r="A1050" i="1"/>
  <c r="B1050" i="1"/>
  <c r="A1051" i="1"/>
  <c r="B1051" i="1"/>
  <c r="A1052" i="1"/>
  <c r="B1052" i="1"/>
  <c r="A1053" i="1"/>
  <c r="B1053" i="1"/>
  <c r="A1054" i="1"/>
  <c r="B1054" i="1"/>
  <c r="A1055" i="1"/>
  <c r="B1055" i="1"/>
  <c r="A1056" i="1"/>
  <c r="B1056" i="1"/>
  <c r="A1057" i="1"/>
  <c r="B1057" i="1"/>
  <c r="A1058" i="1"/>
  <c r="B1058" i="1"/>
  <c r="A1059" i="1"/>
  <c r="B1059" i="1"/>
  <c r="A1060" i="1"/>
  <c r="B1060" i="1"/>
  <c r="A1061" i="1"/>
  <c r="B1061" i="1"/>
  <c r="A1062" i="1"/>
  <c r="B1062" i="1"/>
  <c r="A1063" i="1"/>
  <c r="B1063" i="1"/>
  <c r="A1064" i="1"/>
  <c r="B1064" i="1"/>
  <c r="A1065" i="1"/>
  <c r="B1065" i="1"/>
  <c r="A1066" i="1"/>
  <c r="B1066" i="1"/>
  <c r="A1067" i="1"/>
  <c r="B1067" i="1"/>
  <c r="A1068" i="1"/>
  <c r="B1068" i="1"/>
  <c r="A1069" i="1"/>
  <c r="B1069" i="1"/>
  <c r="A1070" i="1"/>
  <c r="B1070" i="1"/>
  <c r="A1071" i="1"/>
  <c r="B1071" i="1"/>
  <c r="A1072" i="1"/>
  <c r="B1072" i="1"/>
  <c r="A1073" i="1"/>
  <c r="B1073" i="1"/>
  <c r="A1074" i="1"/>
  <c r="B1074" i="1"/>
  <c r="A1075" i="1"/>
  <c r="B1075" i="1"/>
  <c r="A1076" i="1"/>
  <c r="B1076" i="1"/>
  <c r="A1077" i="1"/>
  <c r="B1077" i="1"/>
  <c r="A1078" i="1"/>
  <c r="B1078" i="1"/>
  <c r="A1079" i="1"/>
  <c r="B1079" i="1"/>
  <c r="A1080" i="1"/>
  <c r="B1080" i="1"/>
  <c r="A1081" i="1"/>
  <c r="B1081" i="1"/>
  <c r="A1082" i="1"/>
  <c r="B1082" i="1"/>
  <c r="A1083" i="1"/>
  <c r="B1083" i="1"/>
  <c r="A1084" i="1"/>
  <c r="B1084" i="1"/>
  <c r="A1085" i="1"/>
  <c r="B1085" i="1"/>
  <c r="A1086" i="1"/>
  <c r="B1086" i="1"/>
  <c r="A1087" i="1"/>
  <c r="B1087" i="1"/>
  <c r="A1088" i="1"/>
  <c r="B1088" i="1"/>
  <c r="A1089" i="1"/>
  <c r="B1089" i="1"/>
  <c r="A1090" i="1"/>
  <c r="B1090" i="1"/>
  <c r="A1091" i="1"/>
  <c r="B1091" i="1"/>
  <c r="A1092" i="1"/>
  <c r="B1092" i="1"/>
  <c r="A1093" i="1"/>
  <c r="B1093" i="1"/>
  <c r="A1094" i="1"/>
  <c r="B1094" i="1"/>
  <c r="A1095" i="1"/>
  <c r="B1095" i="1"/>
  <c r="A1096" i="1"/>
  <c r="B1096" i="1"/>
  <c r="A1097" i="1"/>
  <c r="B1097" i="1"/>
  <c r="A1098" i="1"/>
  <c r="B1098" i="1"/>
  <c r="A1099" i="1"/>
  <c r="B1099" i="1"/>
  <c r="A1100" i="1"/>
  <c r="B1100" i="1"/>
  <c r="A1101" i="1"/>
  <c r="B1101" i="1"/>
  <c r="A1102" i="1"/>
  <c r="B1102" i="1"/>
  <c r="A1103" i="1"/>
  <c r="B1103" i="1"/>
  <c r="A1104" i="1"/>
  <c r="B1104" i="1"/>
  <c r="A1105" i="1"/>
  <c r="B1105" i="1"/>
  <c r="A1106" i="1"/>
  <c r="B1106" i="1"/>
  <c r="A1107" i="1"/>
  <c r="B1107" i="1"/>
  <c r="A1108" i="1"/>
  <c r="B1108" i="1"/>
  <c r="A1109" i="1"/>
  <c r="B1109" i="1"/>
  <c r="A1110" i="1"/>
  <c r="B1110" i="1"/>
  <c r="A1111" i="1"/>
  <c r="B1111" i="1"/>
  <c r="A1112" i="1"/>
  <c r="B1112" i="1"/>
  <c r="A1113" i="1"/>
  <c r="B1113" i="1"/>
  <c r="A1114" i="1"/>
  <c r="B1114" i="1"/>
  <c r="A1115" i="1"/>
  <c r="B1115" i="1"/>
  <c r="A1116" i="1"/>
  <c r="B1116" i="1"/>
  <c r="A1117" i="1"/>
  <c r="B1117" i="1"/>
  <c r="A1118" i="1"/>
  <c r="B1118" i="1"/>
  <c r="A1119" i="1"/>
  <c r="B1119" i="1"/>
  <c r="A1120" i="1"/>
  <c r="B1120" i="1"/>
  <c r="A1121" i="1"/>
  <c r="B1121" i="1"/>
  <c r="A1122" i="1"/>
  <c r="B1122" i="1"/>
  <c r="A1123" i="1"/>
  <c r="B1123" i="1"/>
  <c r="A1124" i="1"/>
  <c r="B1124" i="1"/>
  <c r="A1125" i="1"/>
  <c r="B1125" i="1"/>
  <c r="A1126" i="1"/>
  <c r="B1126" i="1"/>
  <c r="A1127" i="1"/>
  <c r="B1127" i="1"/>
  <c r="A1128" i="1"/>
  <c r="B1128" i="1"/>
  <c r="A1129" i="1"/>
  <c r="B1129" i="1"/>
  <c r="A1130" i="1"/>
  <c r="B1130" i="1"/>
  <c r="A1131" i="1"/>
  <c r="B1131" i="1"/>
  <c r="A1132" i="1"/>
  <c r="B1132" i="1"/>
  <c r="A1133" i="1"/>
  <c r="B1133" i="1"/>
  <c r="A1134" i="1"/>
  <c r="B1134" i="1"/>
  <c r="A1135" i="1"/>
  <c r="B1135" i="1"/>
  <c r="A1136" i="1"/>
  <c r="B1136" i="1"/>
  <c r="A1137" i="1"/>
  <c r="B1137" i="1"/>
  <c r="A1138" i="1"/>
  <c r="B1138" i="1"/>
  <c r="A1139" i="1"/>
  <c r="B1139" i="1"/>
  <c r="A1140" i="1"/>
  <c r="B1140" i="1"/>
  <c r="A1141" i="1"/>
  <c r="B1141" i="1"/>
  <c r="A1142" i="1"/>
  <c r="B1142" i="1"/>
  <c r="A1143" i="1"/>
  <c r="B1143" i="1"/>
  <c r="A1144" i="1"/>
  <c r="B1144" i="1"/>
  <c r="A1145" i="1"/>
  <c r="B1145" i="1"/>
  <c r="A1146" i="1"/>
  <c r="B1146" i="1"/>
  <c r="A1147" i="1"/>
  <c r="B1147" i="1"/>
  <c r="A1148" i="1"/>
  <c r="B1148" i="1"/>
  <c r="A1149" i="1"/>
  <c r="B1149" i="1"/>
  <c r="A1150" i="1"/>
  <c r="B1150" i="1"/>
  <c r="A1151" i="1"/>
  <c r="B1151" i="1"/>
  <c r="A1152" i="1"/>
  <c r="B1152" i="1"/>
  <c r="A1153" i="1"/>
  <c r="B1153" i="1"/>
  <c r="A1154" i="1"/>
  <c r="B1154" i="1"/>
  <c r="A1155" i="1"/>
  <c r="B1155" i="1"/>
  <c r="A1156" i="1"/>
  <c r="B1156" i="1"/>
  <c r="A1157" i="1"/>
  <c r="B1157" i="1"/>
  <c r="A1158" i="1"/>
  <c r="B1158" i="1"/>
  <c r="A1159" i="1"/>
  <c r="B1159" i="1"/>
  <c r="A1160" i="1"/>
  <c r="B1160" i="1"/>
  <c r="A1161" i="1"/>
  <c r="B1161" i="1"/>
  <c r="A1162" i="1"/>
  <c r="B1162" i="1"/>
  <c r="A1163" i="1"/>
  <c r="B1163" i="1"/>
  <c r="A1164" i="1"/>
  <c r="B1164" i="1"/>
  <c r="A1165" i="1"/>
  <c r="B1165" i="1"/>
  <c r="A1166" i="1"/>
  <c r="B1166" i="1"/>
  <c r="A1167" i="1"/>
  <c r="B1167" i="1"/>
  <c r="A1168" i="1"/>
  <c r="B1168" i="1"/>
  <c r="A1169" i="1"/>
  <c r="B1169" i="1"/>
  <c r="A1170" i="1"/>
  <c r="B1170" i="1"/>
  <c r="A1171" i="1"/>
  <c r="B1171" i="1"/>
  <c r="A1172" i="1"/>
  <c r="B1172" i="1"/>
  <c r="A1173" i="1"/>
  <c r="B1173" i="1"/>
  <c r="A1174" i="1"/>
  <c r="B1174" i="1"/>
  <c r="A1175" i="1"/>
  <c r="B1175" i="1"/>
  <c r="A1176" i="1"/>
  <c r="B1176" i="1"/>
  <c r="A1177" i="1"/>
  <c r="B1177" i="1"/>
  <c r="A1178" i="1"/>
  <c r="B1178" i="1"/>
  <c r="A1179" i="1"/>
  <c r="B1179" i="1"/>
  <c r="A1180" i="1"/>
  <c r="B1180" i="1"/>
  <c r="A1181" i="1"/>
  <c r="B1181" i="1"/>
  <c r="A1182" i="1"/>
  <c r="B1182" i="1"/>
  <c r="A1183" i="1"/>
  <c r="B1183" i="1"/>
  <c r="A1184" i="1"/>
  <c r="B1184" i="1"/>
  <c r="A1185" i="1"/>
  <c r="B1185" i="1"/>
  <c r="A1186" i="1"/>
  <c r="B1186" i="1"/>
  <c r="A1187" i="1"/>
  <c r="B1187" i="1"/>
  <c r="A1188" i="1"/>
  <c r="B1188" i="1"/>
  <c r="A1189" i="1"/>
  <c r="B1189" i="1"/>
  <c r="A1190" i="1"/>
  <c r="B1190" i="1"/>
  <c r="A1191" i="1"/>
  <c r="B1191" i="1"/>
  <c r="A1192" i="1"/>
  <c r="B1192" i="1"/>
  <c r="A1193" i="1"/>
  <c r="B1193" i="1"/>
  <c r="A1194" i="1"/>
  <c r="B1194" i="1"/>
  <c r="A1195" i="1"/>
  <c r="B1195" i="1"/>
  <c r="A1196" i="1"/>
  <c r="B1196" i="1"/>
  <c r="A1197" i="1"/>
  <c r="B1197" i="1"/>
  <c r="A1198" i="1"/>
  <c r="B1198" i="1"/>
  <c r="A1199" i="1"/>
  <c r="B1199" i="1"/>
  <c r="A1200" i="1"/>
  <c r="B1200" i="1"/>
  <c r="A1201" i="1"/>
  <c r="A1202" i="1"/>
  <c r="B1202" i="1"/>
  <c r="A1203" i="1"/>
  <c r="B1203" i="1"/>
  <c r="A1204" i="1"/>
  <c r="B1204" i="1"/>
  <c r="A1205" i="1"/>
  <c r="A1206" i="1"/>
  <c r="B1206" i="1"/>
  <c r="A1207" i="1"/>
  <c r="B1207" i="1"/>
  <c r="A1208" i="1"/>
  <c r="B1208" i="1"/>
  <c r="A1209" i="1"/>
  <c r="A1210" i="1"/>
  <c r="B1210" i="1"/>
  <c r="A1211" i="1"/>
  <c r="B1211" i="1"/>
  <c r="A1212" i="1"/>
  <c r="B1212" i="1"/>
  <c r="A1213" i="1"/>
  <c r="B1213" i="1"/>
  <c r="A1214" i="1"/>
  <c r="B1214" i="1"/>
  <c r="A1215" i="1"/>
  <c r="B1215" i="1"/>
  <c r="A1216" i="1"/>
  <c r="B1216" i="1"/>
  <c r="A1217" i="1"/>
  <c r="B1217" i="1"/>
  <c r="A1218" i="1"/>
  <c r="B1218" i="1"/>
  <c r="A1219" i="1"/>
  <c r="B1219" i="1"/>
  <c r="A1220" i="1"/>
  <c r="B1220" i="1"/>
  <c r="A1221" i="1"/>
  <c r="B1221" i="1"/>
  <c r="A1222" i="1"/>
  <c r="B1222" i="1"/>
  <c r="A1223" i="1"/>
  <c r="B1223" i="1"/>
  <c r="A1224" i="1"/>
  <c r="B1224" i="1"/>
  <c r="A1225" i="1"/>
  <c r="B1225" i="1"/>
  <c r="A1226" i="1"/>
  <c r="B1226" i="1"/>
  <c r="A1227" i="1"/>
  <c r="B1227" i="1"/>
  <c r="A1228" i="1"/>
  <c r="B1228" i="1"/>
  <c r="A1229" i="1"/>
  <c r="B1229" i="1"/>
  <c r="A1230" i="1"/>
  <c r="B1230" i="1"/>
  <c r="A1231" i="1"/>
  <c r="B1231" i="1"/>
  <c r="A1232" i="1"/>
  <c r="B1232" i="1"/>
  <c r="A1233" i="1"/>
  <c r="B1233" i="1"/>
  <c r="A1234" i="1"/>
  <c r="B1234" i="1"/>
  <c r="A1235" i="1"/>
  <c r="B1235" i="1"/>
  <c r="A1236" i="1"/>
  <c r="B1236" i="1"/>
  <c r="A1237" i="1"/>
  <c r="B1237" i="1"/>
  <c r="A1238" i="1"/>
  <c r="B1238" i="1"/>
  <c r="A1239" i="1"/>
  <c r="B1239" i="1"/>
  <c r="A1240" i="1"/>
  <c r="B1240" i="1"/>
  <c r="A1241" i="1"/>
  <c r="B1241" i="1"/>
  <c r="A1242" i="1"/>
  <c r="B1242" i="1"/>
  <c r="A1243" i="1"/>
  <c r="B1243" i="1"/>
  <c r="A1244" i="1"/>
  <c r="B1244" i="1"/>
  <c r="A1245" i="1"/>
  <c r="B1245" i="1"/>
  <c r="A1246" i="1"/>
  <c r="B1246" i="1"/>
  <c r="A1247" i="1"/>
  <c r="B1247" i="1"/>
  <c r="A1248" i="1"/>
  <c r="B1248" i="1"/>
  <c r="A1249" i="1"/>
  <c r="B1249" i="1"/>
  <c r="A1250" i="1"/>
  <c r="B1250" i="1"/>
  <c r="A1251" i="1"/>
  <c r="B1251" i="1"/>
  <c r="A1252" i="1"/>
  <c r="B1252" i="1"/>
  <c r="A1253" i="1"/>
  <c r="B1253" i="1"/>
  <c r="A1254" i="1"/>
  <c r="B1254" i="1"/>
  <c r="A1255" i="1"/>
  <c r="B1255" i="1"/>
  <c r="A1256" i="1"/>
  <c r="B1256" i="1"/>
  <c r="A1257" i="1"/>
  <c r="B1257" i="1"/>
  <c r="A1258" i="1"/>
  <c r="B1258" i="1"/>
  <c r="A1259" i="1"/>
  <c r="B1259" i="1"/>
  <c r="A1260" i="1"/>
  <c r="B1260" i="1"/>
  <c r="A1261" i="1"/>
  <c r="B1261" i="1"/>
  <c r="A1262" i="1"/>
  <c r="B1262" i="1"/>
  <c r="A1263" i="1"/>
  <c r="B1263" i="1"/>
  <c r="A1264" i="1"/>
  <c r="B1264" i="1"/>
  <c r="A1265" i="1"/>
  <c r="B1265" i="1"/>
  <c r="A1266" i="1"/>
  <c r="B1266" i="1"/>
  <c r="A1267" i="1"/>
  <c r="B1267" i="1"/>
  <c r="A1268" i="1"/>
  <c r="B1268" i="1"/>
  <c r="A1269" i="1"/>
  <c r="B1269" i="1"/>
  <c r="A1270" i="1"/>
  <c r="B1270" i="1"/>
  <c r="A1271" i="1"/>
  <c r="B1271" i="1"/>
  <c r="A1272" i="1"/>
  <c r="B1272" i="1"/>
  <c r="A1273" i="1"/>
  <c r="B1273" i="1"/>
  <c r="A1274" i="1"/>
  <c r="B1274" i="1"/>
  <c r="A1275" i="1"/>
  <c r="B1275" i="1"/>
  <c r="A1276" i="1"/>
  <c r="B1276" i="1"/>
  <c r="A1277" i="1"/>
  <c r="B1277" i="1"/>
  <c r="A1278" i="1"/>
  <c r="B1278" i="1"/>
  <c r="A1279" i="1"/>
  <c r="B1279" i="1"/>
  <c r="A1280" i="1"/>
  <c r="B1280" i="1"/>
  <c r="A1281" i="1"/>
  <c r="B1281" i="1"/>
  <c r="A1282" i="1"/>
  <c r="B1282" i="1"/>
  <c r="A1283" i="1"/>
  <c r="B1283" i="1"/>
  <c r="A1284" i="1"/>
  <c r="B1284" i="1"/>
  <c r="A1285" i="1"/>
  <c r="B1285" i="1"/>
  <c r="A1286" i="1"/>
  <c r="B1286" i="1"/>
  <c r="A1287" i="1"/>
  <c r="B1287" i="1"/>
  <c r="A1288" i="1"/>
  <c r="B1288" i="1"/>
  <c r="A1289" i="1"/>
  <c r="B1289" i="1"/>
  <c r="A1290" i="1"/>
  <c r="B1290" i="1"/>
  <c r="A1291" i="1"/>
  <c r="B1291" i="1"/>
  <c r="A1292" i="1"/>
  <c r="B1292" i="1"/>
  <c r="A1293" i="1"/>
  <c r="B1293" i="1"/>
  <c r="A1294" i="1"/>
  <c r="B1294" i="1"/>
  <c r="A1295" i="1"/>
  <c r="B1295" i="1"/>
  <c r="A1296" i="1"/>
  <c r="B1296" i="1"/>
  <c r="A1297" i="1"/>
  <c r="B1297" i="1"/>
  <c r="A1298" i="1"/>
  <c r="B1298" i="1"/>
  <c r="A1299" i="1"/>
  <c r="B1299" i="1"/>
  <c r="A1300" i="1"/>
  <c r="B1300" i="1"/>
  <c r="A1301" i="1"/>
  <c r="B1301" i="1"/>
  <c r="A1302" i="1"/>
  <c r="B1302" i="1"/>
  <c r="A1303" i="1"/>
  <c r="B1303" i="1"/>
  <c r="A1304" i="1"/>
  <c r="B1304" i="1"/>
  <c r="A1305" i="1"/>
  <c r="B1305" i="1"/>
  <c r="A1306" i="1"/>
  <c r="B1306" i="1"/>
  <c r="A1307" i="1"/>
  <c r="B1307" i="1"/>
  <c r="A1308" i="1"/>
  <c r="B1308" i="1"/>
  <c r="A1309" i="1"/>
  <c r="B1309" i="1"/>
  <c r="A1310" i="1"/>
  <c r="B1310" i="1"/>
  <c r="A1311" i="1"/>
  <c r="B1311" i="1"/>
  <c r="A1312" i="1"/>
  <c r="B1312" i="1"/>
  <c r="A1313" i="1"/>
  <c r="B1313" i="1"/>
  <c r="A1314" i="1"/>
  <c r="B1314" i="1"/>
  <c r="A1315" i="1"/>
  <c r="B1315" i="1"/>
  <c r="A1316" i="1"/>
  <c r="B1316" i="1"/>
  <c r="A1317" i="1"/>
  <c r="B1317" i="1"/>
  <c r="A1318" i="1"/>
  <c r="B1318" i="1"/>
  <c r="A1319" i="1"/>
  <c r="B1319" i="1"/>
  <c r="A1320" i="1"/>
  <c r="B1320" i="1"/>
  <c r="A1321" i="1"/>
  <c r="B1321" i="1"/>
  <c r="A1322" i="1"/>
  <c r="B1322" i="1"/>
  <c r="A1323" i="1"/>
  <c r="B1323" i="1"/>
  <c r="A1324" i="1"/>
  <c r="B1324" i="1"/>
  <c r="A1325" i="1"/>
  <c r="B1325" i="1"/>
  <c r="A1326" i="1"/>
  <c r="B1326" i="1"/>
  <c r="A1327" i="1"/>
  <c r="B1327" i="1"/>
  <c r="A1328" i="1"/>
  <c r="B1328" i="1"/>
  <c r="A1329" i="1"/>
  <c r="B1329" i="1"/>
  <c r="A1330" i="1"/>
  <c r="B1330" i="1"/>
  <c r="A1331" i="1"/>
  <c r="B1331" i="1"/>
  <c r="A1332" i="1"/>
  <c r="B1332" i="1"/>
  <c r="A1333" i="1"/>
  <c r="B1333" i="1"/>
  <c r="A1334" i="1"/>
  <c r="B1334" i="1"/>
  <c r="A1335" i="1"/>
  <c r="B1335" i="1"/>
  <c r="A1336" i="1"/>
  <c r="B1336" i="1"/>
  <c r="A1337" i="1"/>
  <c r="B1337" i="1"/>
  <c r="A1338" i="1"/>
  <c r="B1338" i="1"/>
  <c r="A1339" i="1"/>
  <c r="B1339" i="1"/>
  <c r="A1340" i="1"/>
  <c r="B1340" i="1"/>
  <c r="A1341" i="1"/>
  <c r="B1341" i="1"/>
  <c r="A1342" i="1"/>
  <c r="B1342" i="1"/>
  <c r="A1343" i="1"/>
  <c r="B1343" i="1"/>
  <c r="A1344" i="1"/>
  <c r="B1344" i="1"/>
  <c r="A1345" i="1"/>
  <c r="B1345" i="1"/>
  <c r="A1346" i="1"/>
  <c r="B1346" i="1"/>
  <c r="A1347" i="1"/>
  <c r="B1347" i="1"/>
  <c r="A1348" i="1"/>
  <c r="B1348" i="1"/>
  <c r="A1349" i="1"/>
  <c r="B1349" i="1"/>
  <c r="A1350" i="1"/>
  <c r="B1350" i="1"/>
  <c r="A1351" i="1"/>
  <c r="B1351" i="1"/>
  <c r="A1352" i="1"/>
  <c r="B1352" i="1"/>
  <c r="A1353" i="1"/>
  <c r="B1353" i="1"/>
  <c r="A1354" i="1"/>
  <c r="B1354" i="1"/>
  <c r="A1355" i="1"/>
  <c r="B1355" i="1"/>
  <c r="A1356" i="1"/>
  <c r="B1356" i="1"/>
  <c r="A1357" i="1"/>
  <c r="B1357" i="1"/>
  <c r="A1358" i="1"/>
  <c r="B1358" i="1"/>
  <c r="A1359" i="1"/>
  <c r="B1359" i="1"/>
  <c r="A1360" i="1"/>
  <c r="B1360" i="1"/>
  <c r="A1361" i="1"/>
  <c r="B1361" i="1"/>
  <c r="A1362" i="1"/>
  <c r="B1362" i="1"/>
  <c r="A1363" i="1"/>
  <c r="B1363" i="1"/>
  <c r="A1364" i="1"/>
  <c r="B1364" i="1"/>
  <c r="A1365" i="1"/>
  <c r="B1365" i="1"/>
  <c r="A1366" i="1"/>
  <c r="B1366" i="1"/>
  <c r="A1367" i="1"/>
  <c r="B1367" i="1"/>
  <c r="A1368" i="1"/>
  <c r="B1368" i="1"/>
  <c r="A1369" i="1"/>
  <c r="B1369" i="1"/>
  <c r="A1370" i="1"/>
  <c r="B1370" i="1"/>
  <c r="A1371" i="1"/>
  <c r="B1371" i="1"/>
  <c r="A1372" i="1"/>
  <c r="B1372" i="1"/>
  <c r="A1373" i="1"/>
  <c r="B1373" i="1"/>
  <c r="A1374" i="1"/>
  <c r="B1374" i="1"/>
  <c r="A1375" i="1"/>
  <c r="B1375" i="1"/>
  <c r="A1376" i="1"/>
  <c r="B1376" i="1"/>
  <c r="A1377" i="1"/>
  <c r="B1377" i="1"/>
  <c r="A1378" i="1"/>
  <c r="B1378" i="1"/>
  <c r="A1379" i="1"/>
  <c r="B1379" i="1"/>
  <c r="A1380" i="1"/>
  <c r="B1380" i="1"/>
  <c r="A1381" i="1"/>
  <c r="B1381" i="1"/>
  <c r="A1382" i="1"/>
  <c r="B1382" i="1"/>
  <c r="A1383" i="1"/>
  <c r="B1383" i="1"/>
  <c r="A1384" i="1"/>
  <c r="B1384" i="1"/>
  <c r="A1385" i="1"/>
  <c r="B1385" i="1"/>
  <c r="A1386" i="1"/>
  <c r="B1386" i="1"/>
  <c r="A1387" i="1"/>
  <c r="B1387" i="1"/>
  <c r="A1388" i="1"/>
  <c r="B1388" i="1"/>
  <c r="A1389" i="1"/>
  <c r="B1389" i="1"/>
  <c r="A1390" i="1"/>
  <c r="B1390" i="1"/>
  <c r="A1391" i="1"/>
  <c r="B1391" i="1"/>
  <c r="A1392" i="1"/>
  <c r="B1392" i="1"/>
  <c r="A1393" i="1"/>
  <c r="B1393" i="1"/>
  <c r="A1394" i="1"/>
  <c r="B1394" i="1"/>
  <c r="A1395" i="1"/>
  <c r="B1395" i="1"/>
  <c r="A1396" i="1"/>
  <c r="B1396" i="1"/>
  <c r="A1397" i="1"/>
  <c r="B1397" i="1"/>
  <c r="A1398" i="1"/>
  <c r="B1398" i="1"/>
  <c r="A1399" i="1"/>
  <c r="B1399" i="1"/>
  <c r="A1400" i="1"/>
  <c r="B1400" i="1"/>
  <c r="A1401" i="1"/>
  <c r="B1401" i="1"/>
  <c r="A1402" i="1"/>
  <c r="B1402" i="1"/>
  <c r="A1403" i="1"/>
  <c r="B1403" i="1"/>
  <c r="A1404" i="1"/>
  <c r="B1404" i="1"/>
  <c r="A1405" i="1"/>
  <c r="A1406" i="1"/>
  <c r="B1406" i="1"/>
  <c r="A1407" i="1"/>
  <c r="B1407" i="1"/>
  <c r="A1408" i="1"/>
  <c r="B1408" i="1"/>
  <c r="A1409" i="1"/>
  <c r="B1409" i="1"/>
  <c r="A1410" i="1"/>
  <c r="B1410" i="1"/>
  <c r="A1411" i="1"/>
  <c r="B1411" i="1"/>
  <c r="A1412" i="1"/>
  <c r="B1412" i="1"/>
  <c r="A1413" i="1"/>
  <c r="B1413" i="1"/>
  <c r="A1414" i="1"/>
  <c r="B1414" i="1"/>
  <c r="A1415" i="1"/>
  <c r="B1415" i="1"/>
  <c r="A1416" i="1"/>
  <c r="B1416" i="1"/>
  <c r="A1417" i="1"/>
  <c r="B1417" i="1"/>
  <c r="A1418" i="1"/>
  <c r="B1418" i="1"/>
  <c r="A1419" i="1"/>
  <c r="B1419" i="1"/>
  <c r="A1420" i="1"/>
  <c r="B1420" i="1"/>
  <c r="A1421" i="1"/>
  <c r="B1421" i="1"/>
  <c r="A1422" i="1"/>
  <c r="B1422" i="1"/>
  <c r="A1423" i="1"/>
  <c r="B1423" i="1"/>
  <c r="A1424" i="1"/>
  <c r="B1424" i="1"/>
  <c r="A1425" i="1"/>
  <c r="B1425" i="1"/>
  <c r="A1426" i="1"/>
  <c r="B1426" i="1"/>
  <c r="A1427" i="1"/>
  <c r="B1427" i="1"/>
  <c r="A1428" i="1"/>
  <c r="B1428" i="1"/>
  <c r="A1429" i="1"/>
  <c r="B1429" i="1"/>
  <c r="A1430" i="1"/>
  <c r="B1430" i="1"/>
  <c r="A1431" i="1"/>
  <c r="B1431" i="1"/>
  <c r="A1432" i="1"/>
  <c r="B1432" i="1"/>
  <c r="A1433" i="1"/>
  <c r="B1433" i="1"/>
  <c r="A1434" i="1"/>
  <c r="B1434" i="1"/>
  <c r="A1435" i="1"/>
  <c r="B1435" i="1"/>
  <c r="A1436" i="1"/>
  <c r="B1436" i="1"/>
  <c r="A1437" i="1"/>
  <c r="B1437" i="1"/>
  <c r="A1438" i="1"/>
  <c r="B1438" i="1"/>
  <c r="A1439" i="1"/>
  <c r="B1439" i="1"/>
  <c r="A1440" i="1"/>
  <c r="B1440" i="1"/>
  <c r="A1441" i="1"/>
  <c r="B1441" i="1"/>
  <c r="A1442" i="1"/>
  <c r="B1442" i="1"/>
  <c r="A1443" i="1"/>
  <c r="B1443" i="1"/>
  <c r="A1444" i="1"/>
  <c r="B1444" i="1"/>
  <c r="A1445" i="1"/>
  <c r="B1445" i="1"/>
  <c r="A1446" i="1"/>
  <c r="B1446" i="1"/>
  <c r="A1447" i="1"/>
  <c r="B1447" i="1"/>
  <c r="A1448" i="1"/>
  <c r="B1448" i="1"/>
  <c r="A1449" i="1"/>
  <c r="B1449" i="1"/>
  <c r="A1450" i="1"/>
  <c r="B1450" i="1"/>
  <c r="A1451" i="1"/>
  <c r="B1451" i="1"/>
  <c r="A1452" i="1"/>
  <c r="B1452" i="1"/>
  <c r="A1453" i="1"/>
  <c r="B1453" i="1"/>
  <c r="A1454" i="1"/>
  <c r="B1454" i="1"/>
  <c r="A1455" i="1"/>
  <c r="B1455" i="1"/>
  <c r="A1456" i="1"/>
  <c r="B1456" i="1"/>
  <c r="A1457" i="1"/>
  <c r="B1457" i="1"/>
  <c r="A1458" i="1"/>
  <c r="B1458" i="1"/>
  <c r="A1459" i="1"/>
  <c r="B1459" i="1"/>
  <c r="A1460" i="1"/>
  <c r="B1460" i="1"/>
  <c r="A1461" i="1"/>
  <c r="B1461" i="1"/>
  <c r="A1462" i="1"/>
  <c r="B1462" i="1"/>
  <c r="A1463" i="1"/>
  <c r="B1463" i="1"/>
  <c r="A1464" i="1"/>
  <c r="B1464" i="1"/>
  <c r="A1465" i="1"/>
  <c r="B1465" i="1"/>
  <c r="A1466" i="1"/>
  <c r="B1466" i="1"/>
  <c r="A1467" i="1"/>
  <c r="B1467" i="1"/>
  <c r="A1468" i="1"/>
  <c r="B1468" i="1"/>
  <c r="A1469" i="1"/>
  <c r="B1469" i="1"/>
  <c r="A1470" i="1"/>
  <c r="B1470" i="1"/>
  <c r="A1471" i="1"/>
  <c r="B1471" i="1"/>
  <c r="A1472" i="1"/>
  <c r="B1472" i="1"/>
  <c r="A1473" i="1"/>
  <c r="B1473" i="1"/>
  <c r="A1474" i="1"/>
  <c r="B1474" i="1"/>
  <c r="A1475" i="1"/>
  <c r="B1475" i="1"/>
  <c r="A1476" i="1"/>
  <c r="B1476" i="1"/>
  <c r="A1477" i="1"/>
  <c r="B1477" i="1"/>
  <c r="A1478" i="1"/>
  <c r="B1478" i="1"/>
  <c r="A1479" i="1"/>
  <c r="B1479" i="1"/>
  <c r="A1480" i="1"/>
  <c r="B1480" i="1"/>
  <c r="A1481" i="1"/>
  <c r="B1481" i="1"/>
  <c r="A1482" i="1"/>
  <c r="A1483" i="1"/>
  <c r="B1483" i="1"/>
  <c r="A1484" i="1"/>
  <c r="B1484" i="1"/>
  <c r="A1485" i="1"/>
  <c r="A1486" i="1"/>
  <c r="B1486" i="1"/>
  <c r="A1487" i="1"/>
  <c r="B1487" i="1"/>
  <c r="A1488" i="1"/>
  <c r="B1488" i="1"/>
  <c r="A1489" i="1"/>
  <c r="B1489" i="1"/>
  <c r="A1490" i="1"/>
  <c r="B1490" i="1"/>
  <c r="A1491" i="1"/>
  <c r="B1491" i="1"/>
  <c r="A1492" i="1"/>
  <c r="B1492" i="1"/>
  <c r="A1493" i="1"/>
  <c r="B1493" i="1"/>
  <c r="A1494" i="1"/>
  <c r="B1494" i="1"/>
  <c r="A1495" i="1"/>
  <c r="B1495" i="1"/>
  <c r="A1496" i="1"/>
  <c r="B1496" i="1"/>
  <c r="A1497" i="1"/>
  <c r="B1497" i="1"/>
  <c r="A1498" i="1"/>
  <c r="B1498" i="1"/>
  <c r="A1499" i="1"/>
  <c r="B1499" i="1"/>
  <c r="A1500" i="1"/>
  <c r="B1500" i="1"/>
  <c r="A1501" i="1"/>
  <c r="B1501" i="1"/>
  <c r="A1502" i="1"/>
  <c r="B1502" i="1"/>
  <c r="A1503" i="1"/>
  <c r="A1504" i="1"/>
  <c r="B1504" i="1"/>
  <c r="A1505" i="1"/>
  <c r="B1505" i="1"/>
  <c r="A1506" i="1"/>
  <c r="B1506" i="1"/>
  <c r="A1507" i="1"/>
  <c r="B1507" i="1"/>
  <c r="A1508" i="1"/>
  <c r="B1508" i="1"/>
  <c r="A1509" i="1"/>
  <c r="B1509" i="1"/>
  <c r="A1510" i="1"/>
  <c r="B1510" i="1"/>
  <c r="A1511" i="1"/>
  <c r="B1511" i="1"/>
  <c r="A1512" i="1"/>
  <c r="B1512" i="1"/>
  <c r="A1513" i="1"/>
  <c r="B1513" i="1"/>
  <c r="A1514" i="1"/>
  <c r="B1514" i="1"/>
  <c r="A1515" i="1"/>
  <c r="B1515" i="1"/>
  <c r="A1516" i="1"/>
  <c r="B1516" i="1"/>
  <c r="A1517" i="1"/>
  <c r="B1517" i="1"/>
  <c r="A1518" i="1"/>
  <c r="B1518" i="1"/>
  <c r="A1519" i="1"/>
  <c r="B1519" i="1"/>
  <c r="A1520" i="1"/>
  <c r="B1520" i="1"/>
  <c r="A1521" i="1"/>
  <c r="A1522" i="1"/>
  <c r="B1522" i="1"/>
  <c r="A1523" i="1"/>
  <c r="B1523" i="1"/>
  <c r="A1524" i="1"/>
  <c r="B1524" i="1"/>
  <c r="A1525" i="1"/>
  <c r="B1525" i="1"/>
  <c r="A1526" i="1"/>
  <c r="B1526" i="1"/>
  <c r="A1527" i="1"/>
  <c r="B1527" i="1"/>
  <c r="A1528" i="1"/>
  <c r="A1529" i="1"/>
  <c r="B1529" i="1"/>
  <c r="A1530" i="1"/>
  <c r="B1530" i="1"/>
  <c r="A1531" i="1"/>
  <c r="A1532" i="1"/>
  <c r="B1532" i="1"/>
  <c r="A1533" i="1"/>
  <c r="B1533" i="1"/>
  <c r="A1534" i="1"/>
  <c r="A1535" i="1"/>
  <c r="B1535" i="1"/>
  <c r="A1536" i="1"/>
  <c r="B1536" i="1"/>
  <c r="A1537" i="1"/>
  <c r="B1537" i="1"/>
  <c r="A1538" i="1"/>
  <c r="B1538" i="1"/>
  <c r="A1539" i="1"/>
  <c r="B1539" i="1"/>
  <c r="A1540" i="1"/>
  <c r="A1541" i="1"/>
  <c r="B1541" i="1"/>
  <c r="A1542" i="1"/>
  <c r="B1542" i="1"/>
  <c r="A1543" i="1"/>
  <c r="B1543" i="1"/>
  <c r="A1544" i="1"/>
  <c r="B1544" i="1"/>
  <c r="A1545" i="1"/>
  <c r="A1546" i="1"/>
  <c r="B1546" i="1"/>
  <c r="A1547" i="1"/>
  <c r="B1547" i="1"/>
  <c r="A1548" i="1"/>
  <c r="B1548" i="1"/>
  <c r="A1549" i="1"/>
  <c r="B1549" i="1"/>
  <c r="A1550" i="1"/>
  <c r="A1551" i="1"/>
  <c r="B1551" i="1"/>
  <c r="A1552" i="1"/>
  <c r="B1552" i="1"/>
  <c r="A1553" i="1"/>
  <c r="B1553" i="1"/>
  <c r="A1554" i="1"/>
  <c r="B1554" i="1"/>
  <c r="A1555" i="1"/>
  <c r="B1555" i="1"/>
  <c r="A1556" i="1"/>
  <c r="B1556" i="1"/>
  <c r="A1557" i="1"/>
  <c r="B1557" i="1"/>
  <c r="A1558" i="1"/>
  <c r="B1558" i="1"/>
  <c r="A1559" i="1"/>
  <c r="B1559" i="1"/>
  <c r="A1560" i="1"/>
  <c r="B1560" i="1"/>
  <c r="A1561" i="1"/>
  <c r="B1561" i="1"/>
  <c r="A1562" i="1"/>
  <c r="B1562" i="1"/>
  <c r="A1563" i="1"/>
  <c r="B1563" i="1"/>
  <c r="A1564" i="1"/>
  <c r="B1564" i="1"/>
  <c r="A1565" i="1"/>
  <c r="B1565" i="1"/>
  <c r="A1566" i="1"/>
  <c r="B1566" i="1"/>
  <c r="A1567" i="1"/>
  <c r="B1567" i="1"/>
  <c r="A1568" i="1"/>
  <c r="B1568" i="1"/>
  <c r="A1569" i="1"/>
  <c r="B1569" i="1"/>
  <c r="A1570" i="1"/>
  <c r="B1570" i="1"/>
  <c r="A1571" i="1"/>
  <c r="B1571" i="1"/>
  <c r="A1572" i="1"/>
  <c r="B1572" i="1"/>
  <c r="A1573" i="1"/>
  <c r="B1573" i="1"/>
  <c r="A1574" i="1"/>
  <c r="B1574" i="1"/>
  <c r="A1575" i="1"/>
  <c r="B1575" i="1"/>
  <c r="A1576" i="1"/>
  <c r="B1576" i="1"/>
  <c r="A1577" i="1"/>
  <c r="B1577" i="1"/>
  <c r="A1578" i="1"/>
  <c r="B1578" i="1"/>
  <c r="A1579" i="1"/>
  <c r="B1579" i="1"/>
  <c r="A1580" i="1"/>
  <c r="B1580" i="1"/>
  <c r="A1581" i="1"/>
  <c r="B1581" i="1"/>
  <c r="A1582" i="1"/>
  <c r="B1582" i="1"/>
  <c r="A1583" i="1"/>
  <c r="B1583" i="1"/>
  <c r="A1584" i="1"/>
  <c r="B1584" i="1"/>
  <c r="A1585" i="1"/>
  <c r="B1585" i="1"/>
  <c r="A1586" i="1"/>
  <c r="B1586" i="1"/>
  <c r="A1587" i="1"/>
  <c r="B1587" i="1"/>
  <c r="A1588" i="1"/>
  <c r="B1588" i="1"/>
  <c r="A1589" i="1"/>
  <c r="B1589" i="1"/>
  <c r="A1590" i="1"/>
  <c r="B1590" i="1"/>
  <c r="A1591" i="1"/>
  <c r="B1591" i="1"/>
  <c r="A1592" i="1"/>
  <c r="B1592" i="1"/>
  <c r="A1593" i="1"/>
  <c r="B1593" i="1"/>
  <c r="A1594" i="1"/>
  <c r="B1594" i="1"/>
  <c r="A1595" i="1"/>
  <c r="B1595" i="1"/>
  <c r="A1596" i="1"/>
  <c r="B1596" i="1"/>
  <c r="A1597" i="1"/>
  <c r="B1597" i="1"/>
  <c r="A1598" i="1"/>
  <c r="B1598" i="1"/>
  <c r="A1599" i="1"/>
  <c r="B1599" i="1"/>
  <c r="A1600" i="1"/>
  <c r="B1600" i="1"/>
  <c r="A1601" i="1"/>
  <c r="B1601" i="1"/>
  <c r="A1602" i="1"/>
  <c r="B1602" i="1"/>
  <c r="A1603" i="1"/>
  <c r="B1603" i="1"/>
  <c r="A1604" i="1"/>
  <c r="B1604" i="1"/>
  <c r="A1605" i="1"/>
  <c r="B1605" i="1"/>
  <c r="A1606" i="1"/>
  <c r="B1606" i="1"/>
  <c r="A1607" i="1"/>
  <c r="B1607" i="1"/>
  <c r="A1608" i="1"/>
  <c r="B1608" i="1"/>
  <c r="A1609" i="1"/>
  <c r="B1609" i="1"/>
  <c r="A1610" i="1"/>
  <c r="B1610" i="1"/>
  <c r="A1611" i="1"/>
  <c r="B1611" i="1"/>
  <c r="A1612" i="1"/>
  <c r="B1612" i="1"/>
  <c r="A1613" i="1"/>
  <c r="B1613" i="1"/>
  <c r="A1614" i="1"/>
  <c r="B1614" i="1"/>
  <c r="A1615" i="1"/>
  <c r="B1615" i="1"/>
  <c r="A1616" i="1"/>
  <c r="B1616" i="1"/>
  <c r="A1617" i="1"/>
  <c r="B1617" i="1"/>
  <c r="A1618" i="1"/>
  <c r="B1618" i="1"/>
  <c r="A1619" i="1"/>
  <c r="B1619" i="1"/>
  <c r="A1620" i="1"/>
  <c r="B1620" i="1"/>
  <c r="A1621" i="1"/>
  <c r="B1621" i="1"/>
  <c r="A1622" i="1"/>
  <c r="B1622" i="1"/>
  <c r="A1623" i="1"/>
  <c r="B1623" i="1"/>
  <c r="A1624" i="1"/>
  <c r="B1624" i="1"/>
  <c r="A1625" i="1"/>
  <c r="B1625" i="1"/>
  <c r="A1626" i="1"/>
  <c r="B1626" i="1"/>
  <c r="A1627" i="1"/>
  <c r="B1627" i="1"/>
  <c r="A1628" i="1"/>
  <c r="B1628" i="1"/>
  <c r="A1629" i="1"/>
  <c r="B1629" i="1"/>
  <c r="A1630" i="1"/>
  <c r="B1630" i="1"/>
  <c r="A1631" i="1"/>
  <c r="B1631" i="1"/>
  <c r="A1632" i="1"/>
  <c r="B1632" i="1"/>
  <c r="A1633" i="1"/>
  <c r="B1633" i="1"/>
  <c r="A1634" i="1"/>
  <c r="B1634" i="1"/>
  <c r="A1635" i="1"/>
  <c r="B1635" i="1"/>
  <c r="A1636" i="1"/>
  <c r="B1636" i="1"/>
  <c r="A1637" i="1"/>
  <c r="B1637" i="1"/>
  <c r="A1638" i="1"/>
  <c r="B1638" i="1"/>
  <c r="A1639" i="1"/>
  <c r="B1639" i="1"/>
  <c r="A1640" i="1"/>
  <c r="B1640" i="1"/>
  <c r="A1641" i="1"/>
  <c r="B1641" i="1"/>
  <c r="A1642" i="1"/>
  <c r="B1642" i="1"/>
  <c r="A1643" i="1"/>
  <c r="B1643" i="1"/>
  <c r="A1644" i="1"/>
  <c r="B1644" i="1"/>
  <c r="A1645" i="1"/>
  <c r="B1645" i="1"/>
  <c r="A1646" i="1"/>
  <c r="B1646" i="1"/>
  <c r="A1647" i="1"/>
  <c r="B1647" i="1"/>
  <c r="A1648" i="1"/>
  <c r="B1648" i="1"/>
  <c r="A1649" i="1"/>
  <c r="B1649" i="1"/>
  <c r="A1650" i="1"/>
  <c r="B1650" i="1"/>
  <c r="A1651" i="1"/>
  <c r="B1651" i="1"/>
  <c r="A1652" i="1"/>
  <c r="B1652" i="1"/>
  <c r="A1653" i="1"/>
  <c r="B1653" i="1"/>
  <c r="A1654" i="1"/>
  <c r="B1654" i="1"/>
  <c r="A1655" i="1"/>
  <c r="B1655" i="1"/>
  <c r="A1656" i="1"/>
  <c r="B1656" i="1"/>
  <c r="A1657" i="1"/>
  <c r="B1657" i="1"/>
  <c r="A1658" i="1"/>
  <c r="B1658" i="1"/>
  <c r="A1659" i="1"/>
  <c r="B1659" i="1"/>
  <c r="A1660" i="1"/>
  <c r="B1660" i="1"/>
  <c r="A1661" i="1"/>
  <c r="B1661" i="1"/>
  <c r="A1662" i="1"/>
  <c r="B1662" i="1"/>
  <c r="A1663" i="1"/>
  <c r="B1663" i="1"/>
  <c r="A1664" i="1"/>
  <c r="B1664" i="1"/>
  <c r="A1665" i="1"/>
  <c r="B1665" i="1"/>
  <c r="A1666" i="1"/>
  <c r="B1666" i="1"/>
  <c r="A1667" i="1"/>
  <c r="B1667" i="1"/>
  <c r="A1668" i="1"/>
  <c r="B1668" i="1"/>
  <c r="A1669" i="1"/>
  <c r="B1669" i="1"/>
  <c r="A1670" i="1"/>
  <c r="B1670" i="1"/>
  <c r="A1671" i="1"/>
  <c r="B1671" i="1"/>
  <c r="A1672" i="1"/>
  <c r="B1672" i="1"/>
  <c r="A1673" i="1"/>
  <c r="B1673" i="1"/>
  <c r="A1674" i="1"/>
  <c r="B1674" i="1"/>
  <c r="A1675" i="1"/>
  <c r="B1675" i="1"/>
  <c r="A1676" i="1"/>
  <c r="B1676" i="1"/>
  <c r="A1677" i="1"/>
  <c r="B1677" i="1"/>
  <c r="A1678" i="1"/>
  <c r="B1678" i="1"/>
  <c r="A1679" i="1"/>
  <c r="B1679" i="1"/>
  <c r="A1680" i="1"/>
  <c r="B1680" i="1"/>
  <c r="A1681" i="1"/>
  <c r="B1681" i="1"/>
  <c r="A1682" i="1"/>
  <c r="B1682" i="1"/>
  <c r="A1683" i="1"/>
  <c r="B1683" i="1"/>
  <c r="A1684" i="1"/>
  <c r="B1684" i="1"/>
  <c r="A1685" i="1"/>
  <c r="B1685" i="1"/>
  <c r="A1686" i="1"/>
  <c r="B1686" i="1"/>
  <c r="A1687" i="1"/>
  <c r="B1687" i="1"/>
  <c r="A1688" i="1"/>
  <c r="B1688" i="1"/>
  <c r="A1689" i="1"/>
  <c r="B1689" i="1"/>
  <c r="A1690" i="1"/>
  <c r="B1690" i="1"/>
  <c r="A1691" i="1"/>
  <c r="B1691" i="1"/>
  <c r="A1692" i="1"/>
  <c r="B1692" i="1"/>
  <c r="A1693" i="1"/>
  <c r="B1693" i="1"/>
  <c r="A1694" i="1"/>
  <c r="B1694" i="1"/>
  <c r="A1695" i="1"/>
  <c r="B1695" i="1"/>
  <c r="A1696" i="1"/>
  <c r="B1696" i="1"/>
  <c r="A1697" i="1"/>
  <c r="B1697" i="1"/>
  <c r="A1698" i="1"/>
  <c r="B1698" i="1"/>
  <c r="A1699" i="1"/>
  <c r="B1699" i="1"/>
  <c r="A1700" i="1"/>
  <c r="B1700" i="1"/>
  <c r="A1701" i="1"/>
  <c r="B1701" i="1"/>
  <c r="A1702" i="1"/>
  <c r="B1702" i="1"/>
  <c r="A1703" i="1"/>
  <c r="B1703" i="1"/>
  <c r="A1704" i="1"/>
  <c r="B1704" i="1"/>
  <c r="A1705" i="1"/>
  <c r="B1705" i="1"/>
  <c r="A1706" i="1"/>
  <c r="B1706" i="1"/>
  <c r="A1707" i="1"/>
  <c r="B1707" i="1"/>
  <c r="A1708" i="1"/>
  <c r="B1708" i="1"/>
  <c r="A1709" i="1"/>
  <c r="B1709" i="1"/>
  <c r="A1710" i="1"/>
  <c r="B1710" i="1"/>
  <c r="A1711" i="1"/>
  <c r="B1711" i="1"/>
  <c r="A1712" i="1"/>
  <c r="B1712" i="1"/>
  <c r="A1713" i="1"/>
  <c r="B1713" i="1"/>
  <c r="A1714" i="1"/>
  <c r="B1714" i="1"/>
  <c r="A1715" i="1"/>
  <c r="B1715" i="1"/>
  <c r="A1716" i="1"/>
  <c r="B1716" i="1"/>
  <c r="A1717" i="1"/>
  <c r="B1717" i="1"/>
  <c r="A1718" i="1"/>
  <c r="B1718" i="1"/>
  <c r="A1719" i="1"/>
  <c r="B1719" i="1"/>
  <c r="A1720" i="1"/>
  <c r="B1720" i="1"/>
  <c r="A1721" i="1"/>
  <c r="B1721" i="1"/>
  <c r="A1722" i="1"/>
  <c r="B1722" i="1"/>
  <c r="A1723" i="1"/>
  <c r="B1723" i="1"/>
  <c r="A1724" i="1"/>
  <c r="B1724" i="1"/>
  <c r="A1725" i="1"/>
  <c r="B1725" i="1"/>
  <c r="A1726" i="1"/>
  <c r="B1726" i="1"/>
  <c r="A1727" i="1"/>
  <c r="B1727" i="1"/>
  <c r="A1728" i="1"/>
  <c r="B1728" i="1"/>
  <c r="A1729" i="1"/>
  <c r="B1729" i="1"/>
  <c r="A1730" i="1"/>
  <c r="B1730" i="1"/>
  <c r="A1731" i="1"/>
  <c r="B1731" i="1"/>
  <c r="A1732" i="1"/>
  <c r="B1732" i="1"/>
  <c r="A1733" i="1"/>
  <c r="B1733" i="1"/>
  <c r="A1734" i="1"/>
  <c r="B1734" i="1"/>
  <c r="A1735" i="1"/>
  <c r="B1735" i="1"/>
  <c r="A1736" i="1"/>
  <c r="B1736" i="1"/>
  <c r="A1737" i="1"/>
  <c r="B1737" i="1"/>
  <c r="A1738" i="1"/>
  <c r="B1738" i="1"/>
  <c r="A1739" i="1"/>
  <c r="B1739" i="1"/>
</calcChain>
</file>

<file path=xl/sharedStrings.xml><?xml version="1.0" encoding="utf-8"?>
<sst xmlns="http://schemas.openxmlformats.org/spreadsheetml/2006/main" count="31" uniqueCount="31">
  <si>
    <t>Produced:</t>
  </si>
  <si>
    <t>Mois(C):</t>
  </si>
  <si>
    <t>Annee(C):</t>
  </si>
  <si>
    <t>BUREAU(C):</t>
  </si>
  <si>
    <t>SYSCOM(C):</t>
  </si>
  <si>
    <t>FLUX(C):</t>
  </si>
  <si>
    <t>PROVDEST(C):</t>
  </si>
  <si>
    <t>PRODUIT(B):</t>
  </si>
  <si>
    <t>Y Axis (1)</t>
  </si>
  <si>
    <t>PARTENAIRE(B):</t>
  </si>
  <si>
    <t>Y Axis (2)</t>
  </si>
  <si>
    <t>INDICATORS(B):</t>
  </si>
  <si>
    <t>X Axis (1)</t>
  </si>
  <si>
    <t>=t("Farines, semoules et poudres des produits du chapitre 8 "Fruits comestibles, écorces d'agrumes ou de melons"")</t>
  </si>
  <si>
    <t>=t("BOIS DE CONIFÈRES, Y.C. LES LAMES ET FRISES POUR PARQUETS, NON-ASSEMBLÉES, PROFILÉS "LANGUETÉS, RAINÉS, BOUVETÉS, FEUILLURÉS, CHANFREINÉS, JOINTS EN V, MOULURÉS, ARRONDIS OU SIMIL." TOUT AU LONG D'UNE OU DE PLUSIEURS RIVES, FACES OU BOUTS, MÊME RABOTÉ</t>
  </si>
  <si>
    <t>=t("MOTEURS À PISTON ALTERNATIF OU ROTATIF, À ALLUMAGE PAR ÉTINCELLES "MOTEURS À EXPLOSION" (AUTRES QUE MOTEURS POUR AÉRONEFS, MOTEURS POUR LA PROPULSION DE BATEAUX ET AUTRES QUE LES MOTEURS À PISTON ALTERNATIF DES TYPES UTILISÉS POUR LA PROPULSION DES VÉ</t>
  </si>
  <si>
    <t>=t("MOTEURS À PISTON, À ALLUMAGE PAR COMPRESSION "MOTEURS DIESEL OU SEMI-DIESEL", DES TYPES UTILISÉS POUR LA PROPULSION DES VÉHICULES DU CHAPITRE 87"")</t>
  </si>
  <si>
    <t>=t("MOTEURS À PISTON, À ALLUMAGE PAR COMPRESSION "MOTEURS DIESEL OU SEMI-DIESEL" (AUTRES QUE MOTEURS DE PROPULSION POUR BATEAUX ET SAUF MOTEURS DES TYPES UTILISÉS POUR LA PROPULSION DES VÉHICULES DU CHAPITRE 87)")</t>
  </si>
  <si>
    <t>=t("Groupes électrogènes à moteur à piston à allumage par compression "moteurs diesel ou semi-diesel", puissance &lt;= 75 kVA")</t>
  </si>
  <si>
    <t>=t("VÉHICULES POUR LE TRANSPORT DE &gt;= 10 PERSONNES, CHAUFFEUR INCLUS, À MOTEUR À PISTON À ALLUMAGE PAR COMPRESSION "MOTEUR DIESEL OU SEMI-DIESEL"")</t>
  </si>
  <si>
    <t xml:space="preserve">=t("VOITURES DE TOURISME ET AUTRES VÉHICULES PRINCIPALEMENT CONÇUS POUR LE TRANSPORT DE PERSONNES, Y.C. LES VOITURES DU TYPE 'BREAK' ET LES VOITURES DE COURSE, À MOTEUR À PISTON ALTERNATIF À ALLUMAGE PAR ÉTINCELLES "MOTEUR À EXPLOSION", CYLINDRÉE &gt; 1.000 </t>
  </si>
  <si>
    <t xml:space="preserve">=t("VOITURES DE TOURISME ET AUTRES VÉHICULES PRINCIPALEMENT CONÇUS POUR LE TRANSPORT DE PERSONNES, Y.C. LES VOITURES DU TYPE 'BREAK' ET LES VOITURES DE COURSE, À MOTEUR À PISTON ALTERNATIF À ALLUMAGE PAR ÉTINCELLES "MOTEUR À EXPLOSION", CYLINDRÉE &gt; 1.500 </t>
  </si>
  <si>
    <t xml:space="preserve">=t("VOITURES DE TOURISME ET AUTRES VÉHICULES PRINCIPALEMENT CONÇUS POUR LE TRANSPORT DE PERSONNES, Y.C. LES VOITURES DU TYPE 'BREAK' ET LES VOITURES DE COURSE, À MOTEUR À PISTON ALTERNATIF À ALLUMAGE PAR ÉTINCELLES "MOTEUR À EXPLOSION", CYLINDRÉE &gt; 3.000 </t>
  </si>
  <si>
    <t>=t("VOITURES DE TOURISME ET AUTRES VÉHICULES PRINCIPALEMENT CONÇUS POUR LE TRANSPORT DE PERSONNES, Y.C. LES VOITURES DU TYPE 'BREAK' ET LES VOITURES DE COURSE, À MOTEUR À PISTON À ALLUMAGE PAR COMPRESSION "MOTEUR DIESEL OU SEMI-DIESEL", CYLINDRÉE &lt;= 1.500</t>
  </si>
  <si>
    <t xml:space="preserve">=t("VOITURES DE TOURISME ET AUTRES VÉHICULES PRINCIPALEMENT CONÇUS POUR LE TRANSPORT DE PERSONNES, Y.C. LES VOITURES DU TYPE 'BREAK' ET LES VOITURES DE COURSE, À MOTEUR À PISTON À ALLUMAGE PAR COMPRESSION "MOTEUR DIESEL OU SEMI-DIESEL", CYLINDRÉE &gt; 1.500 </t>
  </si>
  <si>
    <t>=t("VÉHICULES POUR LE TRANSPORT DE MARCHANDISES, À MOTEUR À PISTON À ALLUMAGE PAR COMPRESSION "MOTEUR DIESEL OU SEMI-DIESEL", POIDS EN CHARGE MAXIMAL &lt;= 5 T (SAUF TOMBEREAUX AUTOMOTEURS DU N° 8704 ET VÉHICULES AUTOMOBILES À USAGES SPÉCIAUX DU N° 8705)")</t>
  </si>
  <si>
    <t>=t("VÉHICULES POUR LE TRANSPORT DE MARCHANDISES, À MOTEUR À PISTON À ALLUMAGE PAR COMPRESSION "MOTEUR DIESEL OU SEMI-DIESEL", POIDS EN CHARGE MAXIMAL &gt; 5 T MAIS &lt;= 20 T (SAUF TOMBEREAUX AUTOMOTEURS DU N° 8704.10, VÉHICULES AUTOMOBILES À USAGES SPÉCIAUX DU</t>
  </si>
  <si>
    <t>=t("VÉHICULES POUR LE TRANSPORT DE MARCHANDISES, À MOTEUR À PISTON À ALLUMAGE PAR COMPRESSION "MOTEUR DIESEL OU SEMI-DIESEL", POIDS EN CHARGE MAXIMAL &gt; 20 T (SAUF TOMBEREAUX AUTOMOTEURS DU N° 8704.10, VÉHICULES AUTOMOBILES À USAGES SPÉCIAUX DU N° 8705)")</t>
  </si>
  <si>
    <t>=t("VÉHICULES POUR LE TRANSPORT DE MARCHANDISES, À MOTEUR À PISTON À ALLUMAGE PAR ÉTINCELLES "MOTEUR À EXPLOSION", POIDS EN CHARGE MAXIMAL &lt;= 5 T (SAUF TOMBEREAUX AUTOMOTEURS DU N° 8704.10, VÉHICULES AUTOMOBILES À USAGES SPÉCIAUX DU N° 8705)")</t>
  </si>
  <si>
    <t>Source: Copyright © 1958 - 2003 European Community, Eurostat. All Rights Reserved. Comext: k0000035.txt  Extracted: 07/10/2014</t>
  </si>
  <si>
    <t>Table generation of Extraction from Plan "k0000033,mtx"</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</si>
</sst>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
    <xf numFmtId="0" fontId="0" fillId="0" borderId="0" xfId="0"/>
    <xf numFmtId="0" fontId="16" fillId="0" borderId="0" xfId="0" applyFont="1"/>
  </cellXfs>
  <cellStyles count="42">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Commentaire" xfId="15" builtinId="10" customBuiltin="1"/>
    <cellStyle name="Entrée" xfId="9" builtinId="20" customBuiltin="1"/>
    <cellStyle name="Insatisfaisant" xfId="7" builtinId="27" customBuiltin="1"/>
    <cellStyle name="Neutre" xfId="8" builtinId="28" customBuiltin="1"/>
    <cellStyle name="Normal" xfId="0" builtinId="0"/>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42"/>
  <sheetViews>
    <sheetView tabSelected="1" topLeftCell="A10" workbookViewId="0">
      <selection activeCell="D10" activeCellId="1" sqref="C1:C1048576 D1:D1048576"/>
    </sheetView>
  </sheetViews>
  <sheetFormatPr baseColWidth="10" defaultRowHeight="15" x14ac:dyDescent="0.25"/>
  <sheetData>
    <row r="1" spans="1:4" x14ac:dyDescent="0.25">
      <c r="C1" t="s">
        <v>30</v>
      </c>
    </row>
    <row r="3" spans="1:4" x14ac:dyDescent="0.25">
      <c r="A3" t="s">
        <v>0</v>
      </c>
      <c r="B3" t="str">
        <f>T("07/10/2014")</f>
        <v>07/10/2014</v>
      </c>
    </row>
    <row r="4" spans="1:4" x14ac:dyDescent="0.25">
      <c r="A4" t="s">
        <v>1</v>
      </c>
      <c r="B4" t="str">
        <f>T("00")</f>
        <v>00</v>
      </c>
    </row>
    <row r="5" spans="1:4" x14ac:dyDescent="0.25">
      <c r="A5" t="s">
        <v>2</v>
      </c>
      <c r="B5" t="str">
        <f>T("2012")</f>
        <v>2012</v>
      </c>
    </row>
    <row r="6" spans="1:4" x14ac:dyDescent="0.25">
      <c r="A6" t="s">
        <v>3</v>
      </c>
      <c r="B6" t="str">
        <f>T("ZZ_7Bureaux")</f>
        <v>ZZ_7Bureaux</v>
      </c>
    </row>
    <row r="7" spans="1:4" x14ac:dyDescent="0.25">
      <c r="A7" t="s">
        <v>4</v>
      </c>
      <c r="B7" t="str">
        <f>T("CS")</f>
        <v>CS</v>
      </c>
    </row>
    <row r="8" spans="1:4" x14ac:dyDescent="0.25">
      <c r="A8" t="s">
        <v>5</v>
      </c>
      <c r="B8" t="str">
        <f>T("ET")</f>
        <v>ET</v>
      </c>
    </row>
    <row r="9" spans="1:4" x14ac:dyDescent="0.25">
      <c r="A9" t="s">
        <v>6</v>
      </c>
      <c r="B9" t="str">
        <f>T("ZZZ_Monde")</f>
        <v>ZZZ_Monde</v>
      </c>
    </row>
    <row r="10" spans="1:4" x14ac:dyDescent="0.25">
      <c r="A10" t="s">
        <v>7</v>
      </c>
      <c r="B10" t="s">
        <v>8</v>
      </c>
    </row>
    <row r="11" spans="1:4" x14ac:dyDescent="0.25">
      <c r="A11" t="s">
        <v>9</v>
      </c>
      <c r="B11" t="s">
        <v>10</v>
      </c>
    </row>
    <row r="12" spans="1:4" x14ac:dyDescent="0.25">
      <c r="A12" t="s">
        <v>11</v>
      </c>
      <c r="B12" t="s">
        <v>12</v>
      </c>
    </row>
    <row r="14" spans="1:4" x14ac:dyDescent="0.25">
      <c r="C14" t="str">
        <f>T("Valstat")</f>
        <v>Valstat</v>
      </c>
      <c r="D14" t="str">
        <f>T("Poidsnet")</f>
        <v>Poidsnet</v>
      </c>
    </row>
    <row r="15" spans="1:4" x14ac:dyDescent="0.25">
      <c r="C15" t="str">
        <f>T("Valstat")</f>
        <v>Valstat</v>
      </c>
      <c r="D15" t="str">
        <f>T("Poidsnet")</f>
        <v>Poidsnet</v>
      </c>
    </row>
    <row r="16" spans="1:4" x14ac:dyDescent="0.25">
      <c r="A16" t="str">
        <f>T("010620")</f>
        <v>010620</v>
      </c>
      <c r="B16" t="str">
        <f>T("Reptiles [p.ex. serpents, tortues, alligators, caïmans, iguanes, gavials et lézards], vivants")</f>
        <v>Reptiles [p.ex. serpents, tortues, alligators, caïmans, iguanes, gavials et lézards], vivants</v>
      </c>
    </row>
    <row r="17" spans="1:4" x14ac:dyDescent="0.25">
      <c r="A17" t="str">
        <f>T("   ZZZ_Monde")</f>
        <v xml:space="preserve">   ZZZ_Monde</v>
      </c>
      <c r="B17" t="str">
        <f>T("   ZZZ_Monde")</f>
        <v xml:space="preserve">   ZZZ_Monde</v>
      </c>
      <c r="C17">
        <v>2114454</v>
      </c>
      <c r="D17">
        <v>450</v>
      </c>
    </row>
    <row r="18" spans="1:4" x14ac:dyDescent="0.25">
      <c r="A18" t="str">
        <f>T("   AE")</f>
        <v xml:space="preserve">   AE</v>
      </c>
      <c r="B18" t="str">
        <f>T("   Emirats Arabes Unis")</f>
        <v xml:space="preserve">   Emirats Arabes Unis</v>
      </c>
      <c r="C18">
        <v>1057227</v>
      </c>
      <c r="D18">
        <v>250</v>
      </c>
    </row>
    <row r="19" spans="1:4" x14ac:dyDescent="0.25">
      <c r="A19" t="str">
        <f>T("   CU")</f>
        <v xml:space="preserve">   CU</v>
      </c>
      <c r="B19" t="str">
        <f>T("   Cuba")</f>
        <v xml:space="preserve">   Cuba</v>
      </c>
      <c r="C19">
        <v>1057227</v>
      </c>
      <c r="D19">
        <v>200</v>
      </c>
    </row>
    <row r="20" spans="1:4" x14ac:dyDescent="0.25">
      <c r="A20" t="str">
        <f>T("020727")</f>
        <v>020727</v>
      </c>
      <c r="B20" t="str">
        <f>T("Morceaux et abats comestibles de dindes et dindons [des espèces domestiques], congelés")</f>
        <v>Morceaux et abats comestibles de dindes et dindons [des espèces domestiques], congelés</v>
      </c>
    </row>
    <row r="21" spans="1:4" x14ac:dyDescent="0.25">
      <c r="A21" t="str">
        <f>T("   ZZZ_Monde")</f>
        <v xml:space="preserve">   ZZZ_Monde</v>
      </c>
      <c r="B21" t="str">
        <f>T("   ZZZ_Monde")</f>
        <v xml:space="preserve">   ZZZ_Monde</v>
      </c>
      <c r="C21">
        <v>15550188</v>
      </c>
      <c r="D21">
        <v>25000</v>
      </c>
    </row>
    <row r="22" spans="1:4" x14ac:dyDescent="0.25">
      <c r="A22" t="str">
        <f>T("   PL")</f>
        <v xml:space="preserve">   PL</v>
      </c>
      <c r="B22" t="str">
        <f>T("   Pologne")</f>
        <v xml:space="preserve">   Pologne</v>
      </c>
      <c r="C22">
        <v>15550188</v>
      </c>
      <c r="D22">
        <v>25000</v>
      </c>
    </row>
    <row r="23" spans="1:4" x14ac:dyDescent="0.25">
      <c r="A23" t="str">
        <f>T("030379")</f>
        <v>030379</v>
      </c>
      <c r="B23" t="str">
        <f>T("POISSONS D'EAU DOUCE ET DE MER, COMESTIBLES, CONGELÉS (À L'EXCL. DES SALMONIDÉS, DES POISSONS PLATS, DES THONS, DES LISTAOS OU BONITES À VENTRE RAYÉ, DES HARENGS, DES MORUES, DES ESPADONS, DES LÉGINES, DES SARDINES, DES SARDINELLES, DES SPRATS OU ESPROTS,")</f>
        <v>POISSONS D'EAU DOUCE ET DE MER, COMESTIBLES, CONGELÉS (À L'EXCL. DES SALMONIDÉS, DES POISSONS PLATS, DES THONS, DES LISTAOS OU BONITES À VENTRE RAYÉ, DES HARENGS, DES MORUES, DES ESPADONS, DES LÉGINES, DES SARDINES, DES SARDINELLES, DES SPRATS OU ESPROTS,</v>
      </c>
    </row>
    <row r="24" spans="1:4" x14ac:dyDescent="0.25">
      <c r="A24" t="str">
        <f>T("   ZZZ_Monde")</f>
        <v xml:space="preserve">   ZZZ_Monde</v>
      </c>
      <c r="B24" t="str">
        <f>T("   ZZZ_Monde")</f>
        <v xml:space="preserve">   ZZZ_Monde</v>
      </c>
      <c r="C24">
        <v>132675000</v>
      </c>
      <c r="D24">
        <v>449100</v>
      </c>
    </row>
    <row r="25" spans="1:4" x14ac:dyDescent="0.25">
      <c r="A25" t="str">
        <f>T("   GH")</f>
        <v xml:space="preserve">   GH</v>
      </c>
      <c r="B25" t="str">
        <f>T("   Ghana")</f>
        <v xml:space="preserve">   Ghana</v>
      </c>
      <c r="C25">
        <v>63000000</v>
      </c>
      <c r="D25">
        <v>211000</v>
      </c>
    </row>
    <row r="26" spans="1:4" x14ac:dyDescent="0.25">
      <c r="A26" t="str">
        <f>T("   LR")</f>
        <v xml:space="preserve">   LR</v>
      </c>
      <c r="B26" t="str">
        <f>T("   Libéria")</f>
        <v xml:space="preserve">   Libéria</v>
      </c>
      <c r="C26">
        <v>6075000</v>
      </c>
      <c r="D26">
        <v>27000</v>
      </c>
    </row>
    <row r="27" spans="1:4" x14ac:dyDescent="0.25">
      <c r="A27" t="str">
        <f>T("   TG")</f>
        <v xml:space="preserve">   TG</v>
      </c>
      <c r="B27" t="str">
        <f>T("   Togo")</f>
        <v xml:space="preserve">   Togo</v>
      </c>
      <c r="C27">
        <v>63600000</v>
      </c>
      <c r="D27">
        <v>211100</v>
      </c>
    </row>
    <row r="28" spans="1:4" x14ac:dyDescent="0.25">
      <c r="A28" t="str">
        <f>T("030613")</f>
        <v>030613</v>
      </c>
      <c r="B28" t="str">
        <f>T("CREVETTES, MÊME DÉCORTIQUÉES, CONGELÉES, Y.C. LES CREVETTES NON-DÉCORTIQUÉES PRÉALABLEMENT CUITES À L'EAU OU À LA VAPEUR")</f>
        <v>CREVETTES, MÊME DÉCORTIQUÉES, CONGELÉES, Y.C. LES CREVETTES NON-DÉCORTIQUÉES PRÉALABLEMENT CUITES À L'EAU OU À LA VAPEUR</v>
      </c>
    </row>
    <row r="29" spans="1:4" x14ac:dyDescent="0.25">
      <c r="A29" t="str">
        <f>T("   ZZZ_Monde")</f>
        <v xml:space="preserve">   ZZZ_Monde</v>
      </c>
      <c r="B29" t="str">
        <f>T("   ZZZ_Monde")</f>
        <v xml:space="preserve">   ZZZ_Monde</v>
      </c>
      <c r="C29">
        <v>13193700</v>
      </c>
      <c r="D29">
        <v>26382</v>
      </c>
    </row>
    <row r="30" spans="1:4" x14ac:dyDescent="0.25">
      <c r="A30" t="str">
        <f>T("   CN")</f>
        <v xml:space="preserve">   CN</v>
      </c>
      <c r="B30" t="str">
        <f>T("   Chine")</f>
        <v xml:space="preserve">   Chine</v>
      </c>
      <c r="C30">
        <v>13193700</v>
      </c>
      <c r="D30">
        <v>26382</v>
      </c>
    </row>
    <row r="31" spans="1:4" x14ac:dyDescent="0.25">
      <c r="A31" t="str">
        <f>T("040510")</f>
        <v>040510</v>
      </c>
      <c r="B31" t="str">
        <f>T("Beurre (sauf beurre déshydraté et ghee)")</f>
        <v>Beurre (sauf beurre déshydraté et ghee)</v>
      </c>
    </row>
    <row r="32" spans="1:4" x14ac:dyDescent="0.25">
      <c r="A32" t="str">
        <f>T("   ZZZ_Monde")</f>
        <v xml:space="preserve">   ZZZ_Monde</v>
      </c>
      <c r="B32" t="str">
        <f>T("   ZZZ_Monde")</f>
        <v xml:space="preserve">   ZZZ_Monde</v>
      </c>
      <c r="C32">
        <v>599928184</v>
      </c>
      <c r="D32">
        <v>1072260</v>
      </c>
    </row>
    <row r="33" spans="1:4" x14ac:dyDescent="0.25">
      <c r="A33" t="str">
        <f>T("   MY")</f>
        <v xml:space="preserve">   MY</v>
      </c>
      <c r="B33" t="str">
        <f>T("   Malaisie")</f>
        <v xml:space="preserve">   Malaisie</v>
      </c>
      <c r="C33">
        <v>452119791</v>
      </c>
      <c r="D33">
        <v>808080</v>
      </c>
    </row>
    <row r="34" spans="1:4" x14ac:dyDescent="0.25">
      <c r="A34" t="str">
        <f>T("   NL")</f>
        <v xml:space="preserve">   NL</v>
      </c>
      <c r="B34" t="str">
        <f>T("   Pays-bas")</f>
        <v xml:space="preserve">   Pays-bas</v>
      </c>
      <c r="C34">
        <v>147808393</v>
      </c>
      <c r="D34">
        <v>264180</v>
      </c>
    </row>
    <row r="35" spans="1:4" x14ac:dyDescent="0.25">
      <c r="A35" t="str">
        <f>T("040900")</f>
        <v>040900</v>
      </c>
      <c r="B35" t="str">
        <f>T("Miel naturel")</f>
        <v>Miel naturel</v>
      </c>
    </row>
    <row r="36" spans="1:4" x14ac:dyDescent="0.25">
      <c r="A36" t="str">
        <f>T("   ZZZ_Monde")</f>
        <v xml:space="preserve">   ZZZ_Monde</v>
      </c>
      <c r="B36" t="str">
        <f>T("   ZZZ_Monde")</f>
        <v xml:space="preserve">   ZZZ_Monde</v>
      </c>
      <c r="C36">
        <v>639358</v>
      </c>
      <c r="D36">
        <v>600030</v>
      </c>
    </row>
    <row r="37" spans="1:4" x14ac:dyDescent="0.25">
      <c r="A37" t="str">
        <f>T("   FR")</f>
        <v xml:space="preserve">   FR</v>
      </c>
      <c r="B37" t="str">
        <f>T("   France")</f>
        <v xml:space="preserve">   France</v>
      </c>
      <c r="C37">
        <v>39358</v>
      </c>
      <c r="D37">
        <v>30</v>
      </c>
    </row>
    <row r="38" spans="1:4" x14ac:dyDescent="0.25">
      <c r="A38" t="str">
        <f>T("   LY")</f>
        <v xml:space="preserve">   LY</v>
      </c>
      <c r="B38" t="str">
        <f>T("   Libyenne, Jamahiriya Arabe")</f>
        <v xml:space="preserve">   Libyenne, Jamahiriya Arabe</v>
      </c>
      <c r="C38">
        <v>600000</v>
      </c>
      <c r="D38">
        <v>600000</v>
      </c>
    </row>
    <row r="39" spans="1:4" x14ac:dyDescent="0.25">
      <c r="A39" t="str">
        <f>T("050900")</f>
        <v>050900</v>
      </c>
      <c r="B39" t="str">
        <f>T("ÉPONGES NATURELLES D'ORIGINE ANIMALE")</f>
        <v>ÉPONGES NATURELLES D'ORIGINE ANIMALE</v>
      </c>
    </row>
    <row r="40" spans="1:4" x14ac:dyDescent="0.25">
      <c r="A40" t="str">
        <f>T("   ZZZ_Monde")</f>
        <v xml:space="preserve">   ZZZ_Monde</v>
      </c>
      <c r="B40" t="str">
        <f>T("   ZZZ_Monde")</f>
        <v xml:space="preserve">   ZZZ_Monde</v>
      </c>
      <c r="C40">
        <v>557700</v>
      </c>
      <c r="D40">
        <v>40</v>
      </c>
    </row>
    <row r="41" spans="1:4" x14ac:dyDescent="0.25">
      <c r="A41" t="str">
        <f>T("   FR")</f>
        <v xml:space="preserve">   FR</v>
      </c>
      <c r="B41" t="str">
        <f>T("   France")</f>
        <v xml:space="preserve">   France</v>
      </c>
      <c r="C41">
        <v>557700</v>
      </c>
      <c r="D41">
        <v>40</v>
      </c>
    </row>
    <row r="42" spans="1:4" x14ac:dyDescent="0.25">
      <c r="A42" t="str">
        <f>T("060290")</f>
        <v>060290</v>
      </c>
      <c r="B42" t="str">
        <f>T("PLANTES VIVANTES, Y.C. LEURS RACINES, ET BLANC DE CHAMPIGNONS (À L'EXCL. DES BULBES, OIGNONS, TUBERCULES, RACINES TUBÉREUSES, GRIFFES ET RHIZOMES - Y.C. LES PLANTS, PLANTES ET RACINES DE CHICORÉE -, DES BOUTURES NON-RACINÉES, DES GREFFONS, DES ARBRES, ARB")</f>
        <v>PLANTES VIVANTES, Y.C. LEURS RACINES, ET BLANC DE CHAMPIGNONS (À L'EXCL. DES BULBES, OIGNONS, TUBERCULES, RACINES TUBÉREUSES, GRIFFES ET RHIZOMES - Y.C. LES PLANTS, PLANTES ET RACINES DE CHICORÉE -, DES BOUTURES NON-RACINÉES, DES GREFFONS, DES ARBRES, ARB</v>
      </c>
    </row>
    <row r="43" spans="1:4" x14ac:dyDescent="0.25">
      <c r="A43" t="str">
        <f>T("   ZZZ_Monde")</f>
        <v xml:space="preserve">   ZZZ_Monde</v>
      </c>
      <c r="B43" t="str">
        <f>T("   ZZZ_Monde")</f>
        <v xml:space="preserve">   ZZZ_Monde</v>
      </c>
      <c r="C43">
        <v>2215000</v>
      </c>
      <c r="D43">
        <v>8500</v>
      </c>
    </row>
    <row r="44" spans="1:4" x14ac:dyDescent="0.25">
      <c r="A44" t="str">
        <f>T("   SN")</f>
        <v xml:space="preserve">   SN</v>
      </c>
      <c r="B44" t="str">
        <f>T("   Sénégal")</f>
        <v xml:space="preserve">   Sénégal</v>
      </c>
      <c r="C44">
        <v>2215000</v>
      </c>
      <c r="D44">
        <v>8500</v>
      </c>
    </row>
    <row r="45" spans="1:4" x14ac:dyDescent="0.25">
      <c r="A45" t="str">
        <f>T("060390")</f>
        <v>060390</v>
      </c>
      <c r="B45" t="str">
        <f>T("Fleurs et boutons de fleurs, coupés, pour bouquets ou pour ornements, séchés, blanchis, teints, imprégnés ou autrement préparés")</f>
        <v>Fleurs et boutons de fleurs, coupés, pour bouquets ou pour ornements, séchés, blanchis, teints, imprégnés ou autrement préparés</v>
      </c>
    </row>
    <row r="46" spans="1:4" x14ac:dyDescent="0.25">
      <c r="A46" t="str">
        <f>T("   ZZZ_Monde")</f>
        <v xml:space="preserve">   ZZZ_Monde</v>
      </c>
      <c r="B46" t="str">
        <f>T("   ZZZ_Monde")</f>
        <v xml:space="preserve">   ZZZ_Monde</v>
      </c>
      <c r="C46">
        <v>161500</v>
      </c>
      <c r="D46">
        <v>311</v>
      </c>
    </row>
    <row r="47" spans="1:4" x14ac:dyDescent="0.25">
      <c r="A47" t="str">
        <f>T("   CH")</f>
        <v xml:space="preserve">   CH</v>
      </c>
      <c r="B47" t="str">
        <f>T("   Suisse")</f>
        <v xml:space="preserve">   Suisse</v>
      </c>
      <c r="C47">
        <v>161500</v>
      </c>
      <c r="D47">
        <v>311</v>
      </c>
    </row>
    <row r="48" spans="1:4" x14ac:dyDescent="0.25">
      <c r="A48" t="str">
        <f>T("060499")</f>
        <v>060499</v>
      </c>
      <c r="B48" t="str">
        <f>T("Feuillages, feuilles, rameaux et autres parties de plantes, sans fleurs ni boutons de fleurs, et herbes, pour bouquets ou pour ornements, séchés, blanchis, teints, imprégnés ou autrement travaillés")</f>
        <v>Feuillages, feuilles, rameaux et autres parties de plantes, sans fleurs ni boutons de fleurs, et herbes, pour bouquets ou pour ornements, séchés, blanchis, teints, imprégnés ou autrement travaillés</v>
      </c>
    </row>
    <row r="49" spans="1:4" x14ac:dyDescent="0.25">
      <c r="A49" t="str">
        <f>T("   ZZZ_Monde")</f>
        <v xml:space="preserve">   ZZZ_Monde</v>
      </c>
      <c r="B49" t="str">
        <f>T("   ZZZ_Monde")</f>
        <v xml:space="preserve">   ZZZ_Monde</v>
      </c>
      <c r="C49">
        <v>1615000</v>
      </c>
      <c r="D49">
        <v>40000</v>
      </c>
    </row>
    <row r="50" spans="1:4" x14ac:dyDescent="0.25">
      <c r="A50" t="str">
        <f>T("   CG")</f>
        <v xml:space="preserve">   CG</v>
      </c>
      <c r="B50" t="str">
        <f>T("   Congo (Brazzaville)")</f>
        <v xml:space="preserve">   Congo (Brazzaville)</v>
      </c>
      <c r="C50">
        <v>615000</v>
      </c>
      <c r="D50">
        <v>10000</v>
      </c>
    </row>
    <row r="51" spans="1:4" x14ac:dyDescent="0.25">
      <c r="A51" t="str">
        <f>T("   CN")</f>
        <v xml:space="preserve">   CN</v>
      </c>
      <c r="B51" t="str">
        <f>T("   Chine")</f>
        <v xml:space="preserve">   Chine</v>
      </c>
      <c r="C51">
        <v>1000000</v>
      </c>
      <c r="D51">
        <v>30000</v>
      </c>
    </row>
    <row r="52" spans="1:4" x14ac:dyDescent="0.25">
      <c r="A52" t="str">
        <f>T("071390")</f>
        <v>071390</v>
      </c>
      <c r="B52" t="str">
        <f>T("Légumes à cosse secs, écossés, même décortiqués ou cassés (à l'excl. des pois, des pois chiches, des haricots, des lentilles, des fèves et des féveroles)")</f>
        <v>Légumes à cosse secs, écossés, même décortiqués ou cassés (à l'excl. des pois, des pois chiches, des haricots, des lentilles, des fèves et des féveroles)</v>
      </c>
    </row>
    <row r="53" spans="1:4" x14ac:dyDescent="0.25">
      <c r="A53" t="str">
        <f>T("   ZZZ_Monde")</f>
        <v xml:space="preserve">   ZZZ_Monde</v>
      </c>
      <c r="B53" t="str">
        <f>T("   ZZZ_Monde")</f>
        <v xml:space="preserve">   ZZZ_Monde</v>
      </c>
      <c r="C53">
        <v>44720</v>
      </c>
      <c r="D53">
        <v>188</v>
      </c>
    </row>
    <row r="54" spans="1:4" x14ac:dyDescent="0.25">
      <c r="A54" t="str">
        <f>T("   FR")</f>
        <v xml:space="preserve">   FR</v>
      </c>
      <c r="B54" t="str">
        <f>T("   France")</f>
        <v xml:space="preserve">   France</v>
      </c>
      <c r="C54">
        <v>44720</v>
      </c>
      <c r="D54">
        <v>188</v>
      </c>
    </row>
    <row r="55" spans="1:4" x14ac:dyDescent="0.25">
      <c r="A55" t="str">
        <f>T("071410")</f>
        <v>071410</v>
      </c>
      <c r="B55" t="str">
        <f>T("Racines de manioc, fraîches, réfrigérées, congelées ou séchées, même débitées en morceaux ou agglomérées sous forme de pellets")</f>
        <v>Racines de manioc, fraîches, réfrigérées, congelées ou séchées, même débitées en morceaux ou agglomérées sous forme de pellets</v>
      </c>
    </row>
    <row r="56" spans="1:4" x14ac:dyDescent="0.25">
      <c r="A56" t="str">
        <f>T("   ZZZ_Monde")</f>
        <v xml:space="preserve">   ZZZ_Monde</v>
      </c>
      <c r="B56" t="str">
        <f>T("   ZZZ_Monde")</f>
        <v xml:space="preserve">   ZZZ_Monde</v>
      </c>
      <c r="C56">
        <v>4350000</v>
      </c>
      <c r="D56">
        <v>24000</v>
      </c>
    </row>
    <row r="57" spans="1:4" x14ac:dyDescent="0.25">
      <c r="A57" t="str">
        <f>T("   CG")</f>
        <v xml:space="preserve">   CG</v>
      </c>
      <c r="B57" t="str">
        <f>T("   Congo (Brazzaville)")</f>
        <v xml:space="preserve">   Congo (Brazzaville)</v>
      </c>
      <c r="C57">
        <v>1350000</v>
      </c>
      <c r="D57">
        <v>9000</v>
      </c>
    </row>
    <row r="58" spans="1:4" x14ac:dyDescent="0.25">
      <c r="A58" t="str">
        <f>T("   GA")</f>
        <v xml:space="preserve">   GA</v>
      </c>
      <c r="B58" t="str">
        <f>T("   Gabon")</f>
        <v xml:space="preserve">   Gabon</v>
      </c>
      <c r="C58">
        <v>3000000</v>
      </c>
      <c r="D58">
        <v>15000</v>
      </c>
    </row>
    <row r="59" spans="1:4" x14ac:dyDescent="0.25">
      <c r="A59" t="str">
        <f>T("071490")</f>
        <v>071490</v>
      </c>
      <c r="B59" t="str">
        <f>T("Racines d'arrow-root ou de salep, topinambours et racines et tubercules simil. à haute teneur en fécule ou en inuline, frais, réfrigérés, congelés ou séchés, même débités en morceaux ou agglomérés sous forme de pellets et moelle de sagoutier (à l'excl. de")</f>
        <v>Racines d'arrow-root ou de salep, topinambours et racines et tubercules simil. à haute teneur en fécule ou en inuline, frais, réfrigérés, congelés ou séchés, même débités en morceaux ou agglomérés sous forme de pellets et moelle de sagoutier (à l'excl. de</v>
      </c>
    </row>
    <row r="60" spans="1:4" x14ac:dyDescent="0.25">
      <c r="A60" t="str">
        <f>T("   ZZZ_Monde")</f>
        <v xml:space="preserve">   ZZZ_Monde</v>
      </c>
      <c r="B60" t="str">
        <f>T("   ZZZ_Monde")</f>
        <v xml:space="preserve">   ZZZ_Monde</v>
      </c>
      <c r="C60">
        <v>16365000</v>
      </c>
      <c r="D60">
        <v>200100</v>
      </c>
    </row>
    <row r="61" spans="1:4" x14ac:dyDescent="0.25">
      <c r="A61" t="str">
        <f>T("   GA")</f>
        <v xml:space="preserve">   GA</v>
      </c>
      <c r="B61" t="str">
        <f>T("   Gabon")</f>
        <v xml:space="preserve">   Gabon</v>
      </c>
      <c r="C61">
        <v>15300000</v>
      </c>
      <c r="D61">
        <v>166000</v>
      </c>
    </row>
    <row r="62" spans="1:4" x14ac:dyDescent="0.25">
      <c r="A62" t="str">
        <f>T("   GB")</f>
        <v xml:space="preserve">   GB</v>
      </c>
      <c r="B62" t="str">
        <f>T("   Royaume-Uni")</f>
        <v xml:space="preserve">   Royaume-Uni</v>
      </c>
      <c r="C62">
        <v>450000</v>
      </c>
      <c r="D62">
        <v>10000</v>
      </c>
    </row>
    <row r="63" spans="1:4" x14ac:dyDescent="0.25">
      <c r="A63" t="str">
        <f>T("   GE")</f>
        <v xml:space="preserve">   GE</v>
      </c>
      <c r="B63" t="str">
        <f>T("   Géorgie")</f>
        <v xml:space="preserve">   Géorgie</v>
      </c>
      <c r="C63">
        <v>615000</v>
      </c>
      <c r="D63">
        <v>24100</v>
      </c>
    </row>
    <row r="64" spans="1:4" x14ac:dyDescent="0.25">
      <c r="A64" t="str">
        <f>T("080119")</f>
        <v>080119</v>
      </c>
      <c r="B64" t="str">
        <f>T("Noix de coco, fraîches, même sans leur coques ou décortiquées")</f>
        <v>Noix de coco, fraîches, même sans leur coques ou décortiquées</v>
      </c>
    </row>
    <row r="65" spans="1:4" x14ac:dyDescent="0.25">
      <c r="A65" t="str">
        <f>T("   ZZZ_Monde")</f>
        <v xml:space="preserve">   ZZZ_Monde</v>
      </c>
      <c r="B65" t="str">
        <f>T("   ZZZ_Monde")</f>
        <v xml:space="preserve">   ZZZ_Monde</v>
      </c>
      <c r="C65">
        <v>24418000</v>
      </c>
      <c r="D65">
        <v>171360</v>
      </c>
    </row>
    <row r="66" spans="1:4" x14ac:dyDescent="0.25">
      <c r="A66" t="str">
        <f>T("   IN")</f>
        <v xml:space="preserve">   IN</v>
      </c>
      <c r="B66" t="str">
        <f>T("   Inde")</f>
        <v xml:space="preserve">   Inde</v>
      </c>
      <c r="C66">
        <v>11418000</v>
      </c>
      <c r="D66">
        <v>57090</v>
      </c>
    </row>
    <row r="67" spans="1:4" x14ac:dyDescent="0.25">
      <c r="A67" t="str">
        <f>T("   SY")</f>
        <v xml:space="preserve">   SY</v>
      </c>
      <c r="B67" t="str">
        <f>T("   Syrienne, République arabe")</f>
        <v xml:space="preserve">   Syrienne, République arabe</v>
      </c>
      <c r="C67">
        <v>13000000</v>
      </c>
      <c r="D67">
        <v>114270</v>
      </c>
    </row>
    <row r="68" spans="1:4" x14ac:dyDescent="0.25">
      <c r="A68" t="str">
        <f>T("080121")</f>
        <v>080121</v>
      </c>
      <c r="B68" t="str">
        <f>T("Noix du Brésil, fraîches ou sèches, en coques")</f>
        <v>Noix du Brésil, fraîches ou sèches, en coques</v>
      </c>
    </row>
    <row r="69" spans="1:4" x14ac:dyDescent="0.25">
      <c r="A69" t="str">
        <f>T("   ZZZ_Monde")</f>
        <v xml:space="preserve">   ZZZ_Monde</v>
      </c>
      <c r="B69" t="str">
        <f>T("   ZZZ_Monde")</f>
        <v xml:space="preserve">   ZZZ_Monde</v>
      </c>
      <c r="C69">
        <v>53290843</v>
      </c>
      <c r="D69">
        <v>134449</v>
      </c>
    </row>
    <row r="70" spans="1:4" x14ac:dyDescent="0.25">
      <c r="A70" t="str">
        <f>T("   IN")</f>
        <v xml:space="preserve">   IN</v>
      </c>
      <c r="B70" t="str">
        <f>T("   Inde")</f>
        <v xml:space="preserve">   Inde</v>
      </c>
      <c r="C70">
        <v>13449800</v>
      </c>
      <c r="D70">
        <v>67249</v>
      </c>
    </row>
    <row r="71" spans="1:4" x14ac:dyDescent="0.25">
      <c r="A71" t="str">
        <f>T("   NL")</f>
        <v xml:space="preserve">   NL</v>
      </c>
      <c r="B71" t="str">
        <f>T("   Pays-bas")</f>
        <v xml:space="preserve">   Pays-bas</v>
      </c>
      <c r="C71">
        <v>39841043</v>
      </c>
      <c r="D71">
        <v>67200</v>
      </c>
    </row>
    <row r="72" spans="1:4" x14ac:dyDescent="0.25">
      <c r="A72" t="str">
        <f>T("080131")</f>
        <v>080131</v>
      </c>
      <c r="B72" t="str">
        <f>T("Noix de cajou, fraîches ou sèches, en coques")</f>
        <v>Noix de cajou, fraîches ou sèches, en coques</v>
      </c>
    </row>
    <row r="73" spans="1:4" x14ac:dyDescent="0.25">
      <c r="A73" t="str">
        <f>T("   ZZZ_Monde")</f>
        <v xml:space="preserve">   ZZZ_Monde</v>
      </c>
      <c r="B73" t="str">
        <f>T("   ZZZ_Monde")</f>
        <v xml:space="preserve">   ZZZ_Monde</v>
      </c>
      <c r="C73">
        <v>25110420502</v>
      </c>
      <c r="D73">
        <v>93942327.439999998</v>
      </c>
    </row>
    <row r="74" spans="1:4" x14ac:dyDescent="0.25">
      <c r="A74" t="str">
        <f>T("   AE")</f>
        <v xml:space="preserve">   AE</v>
      </c>
      <c r="B74" t="str">
        <f>T("   Emirats Arabes Unis")</f>
        <v xml:space="preserve">   Emirats Arabes Unis</v>
      </c>
      <c r="C74">
        <v>378600000</v>
      </c>
      <c r="D74">
        <v>1893000</v>
      </c>
    </row>
    <row r="75" spans="1:4" x14ac:dyDescent="0.25">
      <c r="A75" t="str">
        <f>T("   BR")</f>
        <v xml:space="preserve">   BR</v>
      </c>
      <c r="B75" t="str">
        <f>T("   Brésil")</f>
        <v xml:space="preserve">   Brésil</v>
      </c>
      <c r="C75">
        <v>627660000</v>
      </c>
      <c r="D75">
        <v>3487000</v>
      </c>
    </row>
    <row r="76" spans="1:4" x14ac:dyDescent="0.25">
      <c r="A76" t="str">
        <f>T("   CN")</f>
        <v xml:space="preserve">   CN</v>
      </c>
      <c r="B76" t="str">
        <f>T("   Chine")</f>
        <v xml:space="preserve">   Chine</v>
      </c>
      <c r="C76">
        <v>180260800</v>
      </c>
      <c r="D76">
        <v>901304</v>
      </c>
    </row>
    <row r="77" spans="1:4" x14ac:dyDescent="0.25">
      <c r="A77" t="str">
        <f>T("   GH")</f>
        <v xml:space="preserve">   GH</v>
      </c>
      <c r="B77" t="str">
        <f>T("   Ghana")</f>
        <v xml:space="preserve">   Ghana</v>
      </c>
      <c r="C77">
        <v>21000000</v>
      </c>
      <c r="D77">
        <v>280000</v>
      </c>
    </row>
    <row r="78" spans="1:4" x14ac:dyDescent="0.25">
      <c r="A78" t="str">
        <f>T("   HK")</f>
        <v xml:space="preserve">   HK</v>
      </c>
      <c r="B78" t="str">
        <f>T("   Hong-Kong")</f>
        <v xml:space="preserve">   Hong-Kong</v>
      </c>
      <c r="C78">
        <v>852744050</v>
      </c>
      <c r="D78">
        <v>2053900</v>
      </c>
    </row>
    <row r="79" spans="1:4" x14ac:dyDescent="0.25">
      <c r="A79" t="str">
        <f>T("   IN")</f>
        <v xml:space="preserve">   IN</v>
      </c>
      <c r="B79" t="str">
        <f>T("   Inde")</f>
        <v xml:space="preserve">   Inde</v>
      </c>
      <c r="C79">
        <v>19831568868</v>
      </c>
      <c r="D79">
        <v>74571649.439999998</v>
      </c>
    </row>
    <row r="80" spans="1:4" x14ac:dyDescent="0.25">
      <c r="A80" t="str">
        <f>T("   MA")</f>
        <v xml:space="preserve">   MA</v>
      </c>
      <c r="B80" t="str">
        <f>T("   Maroc")</f>
        <v xml:space="preserve">   Maroc</v>
      </c>
      <c r="C80">
        <v>41933600</v>
      </c>
      <c r="D80">
        <v>206816</v>
      </c>
    </row>
    <row r="81" spans="1:4" x14ac:dyDescent="0.25">
      <c r="A81" t="str">
        <f>T("   NL")</f>
        <v xml:space="preserve">   NL</v>
      </c>
      <c r="B81" t="str">
        <f>T("   Pays-bas")</f>
        <v xml:space="preserve">   Pays-bas</v>
      </c>
      <c r="C81">
        <v>622284056</v>
      </c>
      <c r="D81">
        <v>1520070</v>
      </c>
    </row>
    <row r="82" spans="1:4" x14ac:dyDescent="0.25">
      <c r="A82" t="str">
        <f>T("   SG")</f>
        <v xml:space="preserve">   SG</v>
      </c>
      <c r="B82" t="str">
        <f>T("   Singapour")</f>
        <v xml:space="preserve">   Singapour</v>
      </c>
      <c r="C82">
        <v>904787327</v>
      </c>
      <c r="D82">
        <v>2665800</v>
      </c>
    </row>
    <row r="83" spans="1:4" x14ac:dyDescent="0.25">
      <c r="A83" t="str">
        <f>T("   TG")</f>
        <v xml:space="preserve">   TG</v>
      </c>
      <c r="B83" t="str">
        <f>T("   Togo")</f>
        <v xml:space="preserve">   Togo</v>
      </c>
      <c r="C83">
        <v>39000000</v>
      </c>
      <c r="D83">
        <v>624000</v>
      </c>
    </row>
    <row r="84" spans="1:4" x14ac:dyDescent="0.25">
      <c r="A84" t="str">
        <f>T("   VN")</f>
        <v xml:space="preserve">   VN</v>
      </c>
      <c r="B84" t="str">
        <f>T("   Vietnam")</f>
        <v xml:space="preserve">   Vietnam</v>
      </c>
      <c r="C84">
        <v>1610581801</v>
      </c>
      <c r="D84">
        <v>5738788</v>
      </c>
    </row>
    <row r="85" spans="1:4" x14ac:dyDescent="0.25">
      <c r="A85" t="str">
        <f>T("080132")</f>
        <v>080132</v>
      </c>
      <c r="B85" t="str">
        <f>T("Noix de cajou, fraîches ou sèches, sans coques")</f>
        <v>Noix de cajou, fraîches ou sèches, sans coques</v>
      </c>
    </row>
    <row r="86" spans="1:4" x14ac:dyDescent="0.25">
      <c r="A86" t="str">
        <f>T("   ZZZ_Monde")</f>
        <v xml:space="preserve">   ZZZ_Monde</v>
      </c>
      <c r="B86" t="str">
        <f>T("   ZZZ_Monde")</f>
        <v xml:space="preserve">   ZZZ_Monde</v>
      </c>
      <c r="C86">
        <v>575100208</v>
      </c>
      <c r="D86">
        <v>1029453</v>
      </c>
    </row>
    <row r="87" spans="1:4" x14ac:dyDescent="0.25">
      <c r="A87" t="str">
        <f>T("   CN")</f>
        <v xml:space="preserve">   CN</v>
      </c>
      <c r="B87" t="str">
        <f>T("   Chine")</f>
        <v xml:space="preserve">   Chine</v>
      </c>
      <c r="C87">
        <v>235468156</v>
      </c>
      <c r="D87">
        <v>570900</v>
      </c>
    </row>
    <row r="88" spans="1:4" x14ac:dyDescent="0.25">
      <c r="A88" t="str">
        <f>T("   IN")</f>
        <v xml:space="preserve">   IN</v>
      </c>
      <c r="B88" t="str">
        <f>T("   Inde")</f>
        <v xml:space="preserve">   Inde</v>
      </c>
      <c r="C88">
        <v>64190000</v>
      </c>
      <c r="D88">
        <v>362800</v>
      </c>
    </row>
    <row r="89" spans="1:4" x14ac:dyDescent="0.25">
      <c r="A89" t="str">
        <f>T("   NL")</f>
        <v xml:space="preserve">   NL</v>
      </c>
      <c r="B89" t="str">
        <f>T("   Pays-bas")</f>
        <v xml:space="preserve">   Pays-bas</v>
      </c>
      <c r="C89">
        <v>275442052</v>
      </c>
      <c r="D89">
        <v>95753</v>
      </c>
    </row>
    <row r="90" spans="1:4" x14ac:dyDescent="0.25">
      <c r="A90" t="str">
        <f>T("080211")</f>
        <v>080211</v>
      </c>
      <c r="B90" t="str">
        <f>T("Amandes, fraîches ou sèches, en coques")</f>
        <v>Amandes, fraîches ou sèches, en coques</v>
      </c>
    </row>
    <row r="91" spans="1:4" x14ac:dyDescent="0.25">
      <c r="A91" t="str">
        <f>T("   ZZZ_Monde")</f>
        <v xml:space="preserve">   ZZZ_Monde</v>
      </c>
      <c r="B91" t="str">
        <f>T("   ZZZ_Monde")</f>
        <v xml:space="preserve">   ZZZ_Monde</v>
      </c>
      <c r="C91">
        <v>4342206256</v>
      </c>
      <c r="D91">
        <v>18199748</v>
      </c>
    </row>
    <row r="92" spans="1:4" x14ac:dyDescent="0.25">
      <c r="A92" t="str">
        <f>T("   DK")</f>
        <v xml:space="preserve">   DK</v>
      </c>
      <c r="B92" t="str">
        <f>T("   Danemark")</f>
        <v xml:space="preserve">   Danemark</v>
      </c>
      <c r="C92">
        <v>3534420713</v>
      </c>
      <c r="D92">
        <v>17922000</v>
      </c>
    </row>
    <row r="93" spans="1:4" x14ac:dyDescent="0.25">
      <c r="A93" t="str">
        <f>T("   GB")</f>
        <v xml:space="preserve">   GB</v>
      </c>
      <c r="B93" t="str">
        <f>T("   Royaume-Uni")</f>
        <v xml:space="preserve">   Royaume-Uni</v>
      </c>
      <c r="C93">
        <v>42920775</v>
      </c>
      <c r="D93">
        <v>16556</v>
      </c>
    </row>
    <row r="94" spans="1:4" x14ac:dyDescent="0.25">
      <c r="A94" t="str">
        <f>T("   IN")</f>
        <v xml:space="preserve">   IN</v>
      </c>
      <c r="B94" t="str">
        <f>T("   Inde")</f>
        <v xml:space="preserve">   Inde</v>
      </c>
      <c r="C94">
        <v>35280396</v>
      </c>
      <c r="D94">
        <v>14130</v>
      </c>
    </row>
    <row r="95" spans="1:4" x14ac:dyDescent="0.25">
      <c r="A95" t="str">
        <f>T("   SG")</f>
        <v xml:space="preserve">   SG</v>
      </c>
      <c r="B95" t="str">
        <f>T("   Singapour")</f>
        <v xml:space="preserve">   Singapour</v>
      </c>
      <c r="C95">
        <v>35280396</v>
      </c>
      <c r="D95">
        <v>14130</v>
      </c>
    </row>
    <row r="96" spans="1:4" x14ac:dyDescent="0.25">
      <c r="A96" t="str">
        <f>T("   US")</f>
        <v xml:space="preserve">   US</v>
      </c>
      <c r="B96" t="str">
        <f>T("   Etats-Unis")</f>
        <v xml:space="preserve">   Etats-Unis</v>
      </c>
      <c r="C96">
        <v>694303976</v>
      </c>
      <c r="D96">
        <v>232932</v>
      </c>
    </row>
    <row r="97" spans="1:4" x14ac:dyDescent="0.25">
      <c r="A97" t="str">
        <f>T("080290")</f>
        <v>080290</v>
      </c>
      <c r="B97" t="str">
        <f>T("FRUITS À COQUES, FRAIS OU SECS, MÊME SANS LEURS COQUES OU DÉCORTIQUÉS (À L'EXCL. DES NOIX DE COCO, DU BRÉSIL OU DE CAJOU AINSI QUE DES AMANDES, DES NOISETTES, DES NOIX COMMUNES, DES CHÂTAIGNES, DES MARRONS, DES PISTACHESE ET DES NOIX MACADAMIA)")</f>
        <v>FRUITS À COQUES, FRAIS OU SECS, MÊME SANS LEURS COQUES OU DÉCORTIQUÉS (À L'EXCL. DES NOIX DE COCO, DU BRÉSIL OU DE CAJOU AINSI QUE DES AMANDES, DES NOISETTES, DES NOIX COMMUNES, DES CHÂTAIGNES, DES MARRONS, DES PISTACHESE ET DES NOIX MACADAMIA)</v>
      </c>
    </row>
    <row r="98" spans="1:4" x14ac:dyDescent="0.25">
      <c r="A98" t="str">
        <f>T("   ZZZ_Monde")</f>
        <v xml:space="preserve">   ZZZ_Monde</v>
      </c>
      <c r="B98" t="str">
        <f>T("   ZZZ_Monde")</f>
        <v xml:space="preserve">   ZZZ_Monde</v>
      </c>
      <c r="C98">
        <v>44708000</v>
      </c>
      <c r="D98">
        <v>265200</v>
      </c>
    </row>
    <row r="99" spans="1:4" x14ac:dyDescent="0.25">
      <c r="A99" t="str">
        <f>T("   CN")</f>
        <v xml:space="preserve">   CN</v>
      </c>
      <c r="B99" t="str">
        <f>T("   Chine")</f>
        <v xml:space="preserve">   Chine</v>
      </c>
      <c r="C99">
        <v>5700000</v>
      </c>
      <c r="D99">
        <v>38000</v>
      </c>
    </row>
    <row r="100" spans="1:4" x14ac:dyDescent="0.25">
      <c r="A100" t="str">
        <f>T("   IN")</f>
        <v xml:space="preserve">   IN</v>
      </c>
      <c r="B100" t="str">
        <f>T("   Inde")</f>
        <v xml:space="preserve">   Inde</v>
      </c>
      <c r="C100">
        <v>39008000</v>
      </c>
      <c r="D100">
        <v>227200</v>
      </c>
    </row>
    <row r="101" spans="1:4" x14ac:dyDescent="0.25">
      <c r="A101" t="str">
        <f>T("080430")</f>
        <v>080430</v>
      </c>
      <c r="B101" t="str">
        <f>T("Ananas, frais ou secs")</f>
        <v>Ananas, frais ou secs</v>
      </c>
    </row>
    <row r="102" spans="1:4" x14ac:dyDescent="0.25">
      <c r="A102" t="str">
        <f>T("   ZZZ_Monde")</f>
        <v xml:space="preserve">   ZZZ_Monde</v>
      </c>
      <c r="B102" t="str">
        <f>T("   ZZZ_Monde")</f>
        <v xml:space="preserve">   ZZZ_Monde</v>
      </c>
      <c r="C102">
        <v>3061363</v>
      </c>
      <c r="D102">
        <v>1430</v>
      </c>
    </row>
    <row r="103" spans="1:4" x14ac:dyDescent="0.25">
      <c r="A103" t="str">
        <f>T("   BE")</f>
        <v xml:space="preserve">   BE</v>
      </c>
      <c r="B103" t="str">
        <f>T("   Belgique")</f>
        <v xml:space="preserve">   Belgique</v>
      </c>
      <c r="C103">
        <v>2571363</v>
      </c>
      <c r="D103">
        <v>450</v>
      </c>
    </row>
    <row r="104" spans="1:4" x14ac:dyDescent="0.25">
      <c r="A104" t="str">
        <f>T("   FR")</f>
        <v xml:space="preserve">   FR</v>
      </c>
      <c r="B104" t="str">
        <f>T("   France")</f>
        <v xml:space="preserve">   France</v>
      </c>
      <c r="C104">
        <v>490000</v>
      </c>
      <c r="D104">
        <v>980</v>
      </c>
    </row>
    <row r="105" spans="1:4" x14ac:dyDescent="0.25">
      <c r="A105" t="str">
        <f>T("080450")</f>
        <v>080450</v>
      </c>
      <c r="B105" t="str">
        <f>T("Goyaves, mangues et mangoustans, frais ou secs")</f>
        <v>Goyaves, mangues et mangoustans, frais ou secs</v>
      </c>
    </row>
    <row r="106" spans="1:4" x14ac:dyDescent="0.25">
      <c r="A106" t="str">
        <f>T("   ZZZ_Monde")</f>
        <v xml:space="preserve">   ZZZ_Monde</v>
      </c>
      <c r="B106" t="str">
        <f>T("   ZZZ_Monde")</f>
        <v xml:space="preserve">   ZZZ_Monde</v>
      </c>
      <c r="C106">
        <v>3611456</v>
      </c>
      <c r="D106">
        <v>34600</v>
      </c>
    </row>
    <row r="107" spans="1:4" x14ac:dyDescent="0.25">
      <c r="A107" t="str">
        <f>T("   ES")</f>
        <v xml:space="preserve">   ES</v>
      </c>
      <c r="B107" t="str">
        <f>T("   Espagne")</f>
        <v xml:space="preserve">   Espagne</v>
      </c>
      <c r="C107">
        <v>3611456</v>
      </c>
      <c r="D107">
        <v>34600</v>
      </c>
    </row>
    <row r="108" spans="1:4" x14ac:dyDescent="0.25">
      <c r="A108" t="str">
        <f>T("080719")</f>
        <v>080719</v>
      </c>
      <c r="B108" t="str">
        <f>T("Melons, frais (à l'excl. des pastèques)")</f>
        <v>Melons, frais (à l'excl. des pastèques)</v>
      </c>
    </row>
    <row r="109" spans="1:4" x14ac:dyDescent="0.25">
      <c r="A109" t="str">
        <f>T("   ZZZ_Monde")</f>
        <v xml:space="preserve">   ZZZ_Monde</v>
      </c>
      <c r="B109" t="str">
        <f>T("   ZZZ_Monde")</f>
        <v xml:space="preserve">   ZZZ_Monde</v>
      </c>
      <c r="C109">
        <v>2500000</v>
      </c>
      <c r="D109">
        <v>200000</v>
      </c>
    </row>
    <row r="110" spans="1:4" x14ac:dyDescent="0.25">
      <c r="A110" t="str">
        <f>T("   CN")</f>
        <v xml:space="preserve">   CN</v>
      </c>
      <c r="B110" t="str">
        <f>T("   Chine")</f>
        <v xml:space="preserve">   Chine</v>
      </c>
      <c r="C110">
        <v>2500000</v>
      </c>
      <c r="D110">
        <v>200000</v>
      </c>
    </row>
    <row r="111" spans="1:4" x14ac:dyDescent="0.25">
      <c r="A111" t="str">
        <f>T("081190")</f>
        <v>081190</v>
      </c>
      <c r="B111" t="str">
        <f>T("FRUITS COMESTIBLES, NON-CUITS OU CUITS À L'EAU OU À LA VAPEUR, CONGELÉS, MÊME ADDITIONNÉS DE SUCRE OU D'AUTRES ÉDULCORANTS (À L'EXCL. DES FRAISES, DES FRAMBOISES, DES MÛRES DE RONCE OU DE MÛRIER, DES MÛRES-FRAMBOISES ET DES GROSEILLES À GRAPPES OU À MAQUE")</f>
        <v>FRUITS COMESTIBLES, NON-CUITS OU CUITS À L'EAU OU À LA VAPEUR, CONGELÉS, MÊME ADDITIONNÉS DE SUCRE OU D'AUTRES ÉDULCORANTS (À L'EXCL. DES FRAISES, DES FRAMBOISES, DES MÛRES DE RONCE OU DE MÛRIER, DES MÛRES-FRAMBOISES ET DES GROSEILLES À GRAPPES OU À MAQUE</v>
      </c>
    </row>
    <row r="112" spans="1:4" x14ac:dyDescent="0.25">
      <c r="A112" t="str">
        <f>T("   ZZZ_Monde")</f>
        <v xml:space="preserve">   ZZZ_Monde</v>
      </c>
      <c r="B112" t="str">
        <f>T("   ZZZ_Monde")</f>
        <v xml:space="preserve">   ZZZ_Monde</v>
      </c>
      <c r="C112">
        <v>7363807</v>
      </c>
      <c r="D112">
        <v>12015</v>
      </c>
    </row>
    <row r="113" spans="1:4" x14ac:dyDescent="0.25">
      <c r="A113" t="str">
        <f>T("   ES")</f>
        <v xml:space="preserve">   ES</v>
      </c>
      <c r="B113" t="str">
        <f>T("   Espagne")</f>
        <v xml:space="preserve">   Espagne</v>
      </c>
      <c r="C113">
        <v>7363807</v>
      </c>
      <c r="D113">
        <v>12015</v>
      </c>
    </row>
    <row r="114" spans="1:4" x14ac:dyDescent="0.25">
      <c r="A114" t="str">
        <f>T("090220")</f>
        <v>090220</v>
      </c>
      <c r="B114" t="str">
        <f>T("Thé vert [thé non fermenté], présenté en emballages immédiats d'un contenu &gt; 3 kg")</f>
        <v>Thé vert [thé non fermenté], présenté en emballages immédiats d'un contenu &gt; 3 kg</v>
      </c>
    </row>
    <row r="115" spans="1:4" x14ac:dyDescent="0.25">
      <c r="A115" t="str">
        <f>T("   ZZZ_Monde")</f>
        <v xml:space="preserve">   ZZZ_Monde</v>
      </c>
      <c r="B115" t="str">
        <f>T("   ZZZ_Monde")</f>
        <v xml:space="preserve">   ZZZ_Monde</v>
      </c>
      <c r="C115">
        <v>140000</v>
      </c>
      <c r="D115">
        <v>80</v>
      </c>
    </row>
    <row r="116" spans="1:4" x14ac:dyDescent="0.25">
      <c r="A116" t="str">
        <f>T("   TG")</f>
        <v xml:space="preserve">   TG</v>
      </c>
      <c r="B116" t="str">
        <f>T("   Togo")</f>
        <v xml:space="preserve">   Togo</v>
      </c>
      <c r="C116">
        <v>140000</v>
      </c>
      <c r="D116">
        <v>80</v>
      </c>
    </row>
    <row r="117" spans="1:4" x14ac:dyDescent="0.25">
      <c r="A117" t="str">
        <f>T("090230")</f>
        <v>090230</v>
      </c>
      <c r="B117" t="str">
        <f>T("THÉ NOIR [FERMENTÉ] ET THÉ PARTIELLEMENT FERMENTÉ, MÊME AROMATISÉS, PRÉSENTÉS EN EMBALLAGES IMMÉDIATS D'UN CONTENU &lt;= 3 KG [01/01/1988-31/12/1991: THÉ NOIR [THÉ FERMENTE], ET THÉ PARTIELLEMENT FERMENTE, PRESENTES EN EMBALLAGES IMMEDIATS D'UN CONTENU &lt;= 3")</f>
        <v>THÉ NOIR [FERMENTÉ] ET THÉ PARTIELLEMENT FERMENTÉ, MÊME AROMATISÉS, PRÉSENTÉS EN EMBALLAGES IMMÉDIATS D'UN CONTENU &lt;= 3 KG [01/01/1988-31/12/1991: THÉ NOIR [THÉ FERMENTE], ET THÉ PARTIELLEMENT FERMENTE, PRESENTES EN EMBALLAGES IMMEDIATS D'UN CONTENU &lt;= 3</v>
      </c>
    </row>
    <row r="118" spans="1:4" x14ac:dyDescent="0.25">
      <c r="A118" t="str">
        <f>T("   ZZZ_Monde")</f>
        <v xml:space="preserve">   ZZZ_Monde</v>
      </c>
      <c r="B118" t="str">
        <f>T("   ZZZ_Monde")</f>
        <v xml:space="preserve">   ZZZ_Monde</v>
      </c>
      <c r="C118">
        <v>60000</v>
      </c>
      <c r="D118">
        <v>140</v>
      </c>
    </row>
    <row r="119" spans="1:4" x14ac:dyDescent="0.25">
      <c r="A119" t="str">
        <f>T("   GH")</f>
        <v xml:space="preserve">   GH</v>
      </c>
      <c r="B119" t="str">
        <f>T("   Ghana")</f>
        <v xml:space="preserve">   Ghana</v>
      </c>
      <c r="C119">
        <v>60000</v>
      </c>
      <c r="D119">
        <v>140</v>
      </c>
    </row>
    <row r="120" spans="1:4" x14ac:dyDescent="0.25">
      <c r="A120" t="str">
        <f>T("090420")</f>
        <v>090420</v>
      </c>
      <c r="B120" t="str">
        <f>T("Piments du genre 'Capsicum' ou du genre 'Pimenta', séchés ou broyés ou pulvérisés")</f>
        <v>Piments du genre 'Capsicum' ou du genre 'Pimenta', séchés ou broyés ou pulvérisés</v>
      </c>
    </row>
    <row r="121" spans="1:4" x14ac:dyDescent="0.25">
      <c r="A121" t="str">
        <f>T("   ZZZ_Monde")</f>
        <v xml:space="preserve">   ZZZ_Monde</v>
      </c>
      <c r="B121" t="str">
        <f>T("   ZZZ_Monde")</f>
        <v xml:space="preserve">   ZZZ_Monde</v>
      </c>
      <c r="C121">
        <v>15957450</v>
      </c>
      <c r="D121">
        <v>14822</v>
      </c>
    </row>
    <row r="122" spans="1:4" x14ac:dyDescent="0.25">
      <c r="A122" t="str">
        <f>T("   SN")</f>
        <v xml:space="preserve">   SN</v>
      </c>
      <c r="B122" t="str">
        <f>T("   Sénégal")</f>
        <v xml:space="preserve">   Sénégal</v>
      </c>
      <c r="C122">
        <v>15957450</v>
      </c>
      <c r="D122">
        <v>14822</v>
      </c>
    </row>
    <row r="123" spans="1:4" x14ac:dyDescent="0.25">
      <c r="A123" t="str">
        <f>T("091010")</f>
        <v>091010</v>
      </c>
      <c r="B123" t="str">
        <f>T("Gingembre")</f>
        <v>Gingembre</v>
      </c>
    </row>
    <row r="124" spans="1:4" x14ac:dyDescent="0.25">
      <c r="A124" t="str">
        <f>T("   ZZZ_Monde")</f>
        <v xml:space="preserve">   ZZZ_Monde</v>
      </c>
      <c r="B124" t="str">
        <f>T("   ZZZ_Monde")</f>
        <v xml:space="preserve">   ZZZ_Monde</v>
      </c>
      <c r="C124">
        <v>28876712</v>
      </c>
      <c r="D124">
        <v>117600</v>
      </c>
    </row>
    <row r="125" spans="1:4" x14ac:dyDescent="0.25">
      <c r="A125" t="str">
        <f>T("   FR")</f>
        <v xml:space="preserve">   FR</v>
      </c>
      <c r="B125" t="str">
        <f>T("   France")</f>
        <v xml:space="preserve">   France</v>
      </c>
      <c r="C125">
        <v>922990</v>
      </c>
      <c r="D125">
        <v>10380</v>
      </c>
    </row>
    <row r="126" spans="1:4" x14ac:dyDescent="0.25">
      <c r="A126" t="str">
        <f>T("   MA")</f>
        <v xml:space="preserve">   MA</v>
      </c>
      <c r="B126" t="str">
        <f>T("   Maroc")</f>
        <v xml:space="preserve">   Maroc</v>
      </c>
      <c r="C126">
        <v>27953722</v>
      </c>
      <c r="D126">
        <v>107220</v>
      </c>
    </row>
    <row r="127" spans="1:4" x14ac:dyDescent="0.25">
      <c r="A127" t="str">
        <f>T("091099")</f>
        <v>091099</v>
      </c>
      <c r="B127" t="str">
        <f>T("ÉPICES (SAUF POIVRE [DU GENRE PIPER], PIMENTS DU GENRE CAPSICUM OU DU GENRE PIMENTA, VANILLE, CANNELLE ET FLEURS DE CANNELIER, GIROFLES [ANTOFLES, CLOUS ET GRIFFES], NOIX DE MUSCADE, MACIS, AMOMES ET CARDAMOMES, GRAINES D'ANIS, DE BADIANE, DE FENOUIL, DE")</f>
        <v>ÉPICES (SAUF POIVRE [DU GENRE PIPER], PIMENTS DU GENRE CAPSICUM OU DU GENRE PIMENTA, VANILLE, CANNELLE ET FLEURS DE CANNELIER, GIROFLES [ANTOFLES, CLOUS ET GRIFFES], NOIX DE MUSCADE, MACIS, AMOMES ET CARDAMOMES, GRAINES D'ANIS, DE BADIANE, DE FENOUIL, DE</v>
      </c>
    </row>
    <row r="128" spans="1:4" x14ac:dyDescent="0.25">
      <c r="A128" t="str">
        <f>T("   ZZZ_Monde")</f>
        <v xml:space="preserve">   ZZZ_Monde</v>
      </c>
      <c r="B128" t="str">
        <f>T("   ZZZ_Monde")</f>
        <v xml:space="preserve">   ZZZ_Monde</v>
      </c>
      <c r="C128">
        <v>20475000</v>
      </c>
      <c r="D128">
        <v>270000</v>
      </c>
    </row>
    <row r="129" spans="1:4" x14ac:dyDescent="0.25">
      <c r="A129" t="str">
        <f>T("   CN")</f>
        <v xml:space="preserve">   CN</v>
      </c>
      <c r="B129" t="str">
        <f>T("   Chine")</f>
        <v xml:space="preserve">   Chine</v>
      </c>
      <c r="C129">
        <v>18000000</v>
      </c>
      <c r="D129">
        <v>120000</v>
      </c>
    </row>
    <row r="130" spans="1:4" x14ac:dyDescent="0.25">
      <c r="A130" t="str">
        <f>T("   IN")</f>
        <v xml:space="preserve">   IN</v>
      </c>
      <c r="B130" t="str">
        <f>T("   Inde")</f>
        <v xml:space="preserve">   Inde</v>
      </c>
      <c r="C130">
        <v>2475000</v>
      </c>
      <c r="D130">
        <v>150000</v>
      </c>
    </row>
    <row r="131" spans="1:4" x14ac:dyDescent="0.25">
      <c r="A131" t="str">
        <f>T("100110")</f>
        <v>100110</v>
      </c>
      <c r="B131" t="str">
        <f>T("Froment [blé] dur")</f>
        <v>Froment [blé] dur</v>
      </c>
    </row>
    <row r="132" spans="1:4" x14ac:dyDescent="0.25">
      <c r="A132" t="str">
        <f>T("   ZZZ_Monde")</f>
        <v xml:space="preserve">   ZZZ_Monde</v>
      </c>
      <c r="B132" t="str">
        <f>T("   ZZZ_Monde")</f>
        <v xml:space="preserve">   ZZZ_Monde</v>
      </c>
      <c r="C132">
        <v>892179163</v>
      </c>
      <c r="D132">
        <v>4783560</v>
      </c>
    </row>
    <row r="133" spans="1:4" x14ac:dyDescent="0.25">
      <c r="A133" t="str">
        <f>T("   NE")</f>
        <v xml:space="preserve">   NE</v>
      </c>
      <c r="B133" t="str">
        <f>T("   Niger")</f>
        <v xml:space="preserve">   Niger</v>
      </c>
      <c r="C133">
        <v>892179163</v>
      </c>
      <c r="D133">
        <v>4783560</v>
      </c>
    </row>
    <row r="134" spans="1:4" x14ac:dyDescent="0.25">
      <c r="A134" t="str">
        <f>T("100190")</f>
        <v>100190</v>
      </c>
      <c r="B134" t="str">
        <f>T("Froment [blé] et méteil (à l'excl. du froment [blé] dur)")</f>
        <v>Froment [blé] et méteil (à l'excl. du froment [blé] dur)</v>
      </c>
    </row>
    <row r="135" spans="1:4" x14ac:dyDescent="0.25">
      <c r="A135" t="str">
        <f>T("   ZZZ_Monde")</f>
        <v xml:space="preserve">   ZZZ_Monde</v>
      </c>
      <c r="B135" t="str">
        <f>T("   ZZZ_Monde")</f>
        <v xml:space="preserve">   ZZZ_Monde</v>
      </c>
      <c r="C135">
        <v>24000000</v>
      </c>
      <c r="D135">
        <v>150000</v>
      </c>
    </row>
    <row r="136" spans="1:4" x14ac:dyDescent="0.25">
      <c r="A136" t="str">
        <f>T("   CN")</f>
        <v xml:space="preserve">   CN</v>
      </c>
      <c r="B136" t="str">
        <f>T("   Chine")</f>
        <v xml:space="preserve">   Chine</v>
      </c>
      <c r="C136">
        <v>24000000</v>
      </c>
      <c r="D136">
        <v>150000</v>
      </c>
    </row>
    <row r="137" spans="1:4" x14ac:dyDescent="0.25">
      <c r="A137" t="str">
        <f>T("100510")</f>
        <v>100510</v>
      </c>
      <c r="B137" t="str">
        <f>T("Maïs de semence")</f>
        <v>Maïs de semence</v>
      </c>
    </row>
    <row r="138" spans="1:4" x14ac:dyDescent="0.25">
      <c r="A138" t="str">
        <f>T("   ZZZ_Monde")</f>
        <v xml:space="preserve">   ZZZ_Monde</v>
      </c>
      <c r="B138" t="str">
        <f>T("   ZZZ_Monde")</f>
        <v xml:space="preserve">   ZZZ_Monde</v>
      </c>
      <c r="C138">
        <v>749760000</v>
      </c>
      <c r="D138">
        <v>3415497</v>
      </c>
    </row>
    <row r="139" spans="1:4" x14ac:dyDescent="0.25">
      <c r="A139" t="str">
        <f>T("   NE")</f>
        <v xml:space="preserve">   NE</v>
      </c>
      <c r="B139" t="str">
        <f>T("   Niger")</f>
        <v xml:space="preserve">   Niger</v>
      </c>
      <c r="C139">
        <v>749760000</v>
      </c>
      <c r="D139">
        <v>3415497</v>
      </c>
    </row>
    <row r="140" spans="1:4" x14ac:dyDescent="0.25">
      <c r="A140" t="str">
        <f>T("100590")</f>
        <v>100590</v>
      </c>
      <c r="B140" t="str">
        <f>T("Maïs (autre que de semence)")</f>
        <v>Maïs (autre que de semence)</v>
      </c>
    </row>
    <row r="141" spans="1:4" x14ac:dyDescent="0.25">
      <c r="A141" t="str">
        <f>T("   ZZZ_Monde")</f>
        <v xml:space="preserve">   ZZZ_Monde</v>
      </c>
      <c r="B141" t="str">
        <f>T("   ZZZ_Monde")</f>
        <v xml:space="preserve">   ZZZ_Monde</v>
      </c>
      <c r="C141">
        <v>3192392400</v>
      </c>
      <c r="D141">
        <v>15164980</v>
      </c>
    </row>
    <row r="142" spans="1:4" x14ac:dyDescent="0.25">
      <c r="A142" t="str">
        <f>T("   GA")</f>
        <v xml:space="preserve">   GA</v>
      </c>
      <c r="B142" t="str">
        <f>T("   Gabon")</f>
        <v xml:space="preserve">   Gabon</v>
      </c>
      <c r="C142">
        <v>231000</v>
      </c>
      <c r="D142">
        <v>1980</v>
      </c>
    </row>
    <row r="143" spans="1:4" x14ac:dyDescent="0.25">
      <c r="A143" t="str">
        <f>T("   NE")</f>
        <v xml:space="preserve">   NE</v>
      </c>
      <c r="B143" t="str">
        <f>T("   Niger")</f>
        <v xml:space="preserve">   Niger</v>
      </c>
      <c r="C143">
        <v>3192161400</v>
      </c>
      <c r="D143">
        <v>15163000</v>
      </c>
    </row>
    <row r="144" spans="1:4" x14ac:dyDescent="0.25">
      <c r="A144" t="str">
        <f>T("100630")</f>
        <v>100630</v>
      </c>
      <c r="B144" t="str">
        <f>T("Riz semi-blanchi ou blanchi, même poli ou glacé")</f>
        <v>Riz semi-blanchi ou blanchi, même poli ou glacé</v>
      </c>
    </row>
    <row r="145" spans="1:4" x14ac:dyDescent="0.25">
      <c r="A145" t="str">
        <f>T("   ZZZ_Monde")</f>
        <v xml:space="preserve">   ZZZ_Monde</v>
      </c>
      <c r="B145" t="str">
        <f>T("   ZZZ_Monde")</f>
        <v xml:space="preserve">   ZZZ_Monde</v>
      </c>
      <c r="C145">
        <v>1231330722</v>
      </c>
      <c r="D145">
        <v>23385438</v>
      </c>
    </row>
    <row r="146" spans="1:4" x14ac:dyDescent="0.25">
      <c r="A146" t="str">
        <f>T("   BE")</f>
        <v xml:space="preserve">   BE</v>
      </c>
      <c r="B146" t="str">
        <f>T("   Belgique")</f>
        <v xml:space="preserve">   Belgique</v>
      </c>
      <c r="C146">
        <v>6848222</v>
      </c>
      <c r="D146">
        <v>12050</v>
      </c>
    </row>
    <row r="147" spans="1:4" x14ac:dyDescent="0.25">
      <c r="A147" t="str">
        <f>T("   CG")</f>
        <v xml:space="preserve">   CG</v>
      </c>
      <c r="B147" t="str">
        <f>T("   Congo (Brazzaville)")</f>
        <v xml:space="preserve">   Congo (Brazzaville)</v>
      </c>
      <c r="C147">
        <v>63000000</v>
      </c>
      <c r="D147">
        <v>149975</v>
      </c>
    </row>
    <row r="148" spans="1:4" x14ac:dyDescent="0.25">
      <c r="A148" t="str">
        <f>T("   NG")</f>
        <v xml:space="preserve">   NG</v>
      </c>
      <c r="B148" t="str">
        <f>T("   Nigéria")</f>
        <v xml:space="preserve">   Nigéria</v>
      </c>
      <c r="C148">
        <v>1161482500</v>
      </c>
      <c r="D148">
        <v>23223413</v>
      </c>
    </row>
    <row r="149" spans="1:4" x14ac:dyDescent="0.25">
      <c r="A149" t="str">
        <f>T("110100")</f>
        <v>110100</v>
      </c>
      <c r="B149" t="str">
        <f>T("Farines de froment [blé] ou de méteil")</f>
        <v>Farines de froment [blé] ou de méteil</v>
      </c>
    </row>
    <row r="150" spans="1:4" x14ac:dyDescent="0.25">
      <c r="A150" t="str">
        <f>T("   ZZZ_Monde")</f>
        <v xml:space="preserve">   ZZZ_Monde</v>
      </c>
      <c r="B150" t="str">
        <f>T("   ZZZ_Monde")</f>
        <v xml:space="preserve">   ZZZ_Monde</v>
      </c>
      <c r="C150">
        <v>455437927</v>
      </c>
      <c r="D150">
        <v>2460000</v>
      </c>
    </row>
    <row r="151" spans="1:4" x14ac:dyDescent="0.25">
      <c r="A151" t="str">
        <f>T("   NE")</f>
        <v xml:space="preserve">   NE</v>
      </c>
      <c r="B151" t="str">
        <f>T("   Niger")</f>
        <v xml:space="preserve">   Niger</v>
      </c>
      <c r="C151">
        <v>455437927</v>
      </c>
      <c r="D151">
        <v>2460000</v>
      </c>
    </row>
    <row r="152" spans="1:4" x14ac:dyDescent="0.25">
      <c r="A152" t="str">
        <f>T("110290")</f>
        <v>110290</v>
      </c>
      <c r="B152" t="str">
        <f>T("FARINES DE CÉRÉALES (À L'EXCL. DES FARINES DE FROMENT [BLÉ], DE MÉTEIL, DE SEIGLE ET DE MAÏS)")</f>
        <v>FARINES DE CÉRÉALES (À L'EXCL. DES FARINES DE FROMENT [BLÉ], DE MÉTEIL, DE SEIGLE ET DE MAÏS)</v>
      </c>
    </row>
    <row r="153" spans="1:4" x14ac:dyDescent="0.25">
      <c r="A153" t="str">
        <f>T("   ZZZ_Monde")</f>
        <v xml:space="preserve">   ZZZ_Monde</v>
      </c>
      <c r="B153" t="str">
        <f>T("   ZZZ_Monde")</f>
        <v xml:space="preserve">   ZZZ_Monde</v>
      </c>
      <c r="C153">
        <v>2000000</v>
      </c>
      <c r="D153">
        <v>27955</v>
      </c>
    </row>
    <row r="154" spans="1:4" x14ac:dyDescent="0.25">
      <c r="A154" t="str">
        <f>T("   BE")</f>
        <v xml:space="preserve">   BE</v>
      </c>
      <c r="B154" t="str">
        <f>T("   Belgique")</f>
        <v xml:space="preserve">   Belgique</v>
      </c>
      <c r="C154">
        <v>1200000</v>
      </c>
      <c r="D154">
        <v>17955</v>
      </c>
    </row>
    <row r="155" spans="1:4" x14ac:dyDescent="0.25">
      <c r="A155" t="str">
        <f>T("   CN")</f>
        <v xml:space="preserve">   CN</v>
      </c>
      <c r="B155" t="str">
        <f>T("   Chine")</f>
        <v xml:space="preserve">   Chine</v>
      </c>
      <c r="C155">
        <v>800000</v>
      </c>
      <c r="D155">
        <v>10000</v>
      </c>
    </row>
    <row r="156" spans="1:4" x14ac:dyDescent="0.25">
      <c r="A156" t="str">
        <f>T("110311")</f>
        <v>110311</v>
      </c>
      <c r="B156" t="str">
        <f>T("Gruaux et semoules de froment [blé]")</f>
        <v>Gruaux et semoules de froment [blé]</v>
      </c>
    </row>
    <row r="157" spans="1:4" x14ac:dyDescent="0.25">
      <c r="A157" t="str">
        <f>T("   ZZZ_Monde")</f>
        <v xml:space="preserve">   ZZZ_Monde</v>
      </c>
      <c r="B157" t="str">
        <f>T("   ZZZ_Monde")</f>
        <v xml:space="preserve">   ZZZ_Monde</v>
      </c>
      <c r="C157">
        <v>1961170434</v>
      </c>
      <c r="D157">
        <v>5840888</v>
      </c>
    </row>
    <row r="158" spans="1:4" x14ac:dyDescent="0.25">
      <c r="A158" t="str">
        <f>T("   BF")</f>
        <v xml:space="preserve">   BF</v>
      </c>
      <c r="B158" t="str">
        <f>T("   Burkina Faso")</f>
        <v xml:space="preserve">   Burkina Faso</v>
      </c>
      <c r="C158">
        <v>48291192</v>
      </c>
      <c r="D158">
        <v>141800</v>
      </c>
    </row>
    <row r="159" spans="1:4" x14ac:dyDescent="0.25">
      <c r="A159" t="str">
        <f>T("   NE")</f>
        <v xml:space="preserve">   NE</v>
      </c>
      <c r="B159" t="str">
        <f>T("   Niger")</f>
        <v xml:space="preserve">   Niger</v>
      </c>
      <c r="C159">
        <v>633647428</v>
      </c>
      <c r="D159">
        <v>1846264</v>
      </c>
    </row>
    <row r="160" spans="1:4" x14ac:dyDescent="0.25">
      <c r="A160" t="str">
        <f>T("   NG")</f>
        <v xml:space="preserve">   NG</v>
      </c>
      <c r="B160" t="str">
        <f>T("   Nigéria")</f>
        <v xml:space="preserve">   Nigéria</v>
      </c>
      <c r="C160">
        <v>945536474</v>
      </c>
      <c r="D160">
        <v>2857081</v>
      </c>
    </row>
    <row r="161" spans="1:4" x14ac:dyDescent="0.25">
      <c r="A161" t="str">
        <f>T("   TG")</f>
        <v xml:space="preserve">   TG</v>
      </c>
      <c r="B161" t="str">
        <f>T("   Togo")</f>
        <v xml:space="preserve">   Togo</v>
      </c>
      <c r="C161">
        <v>333695340</v>
      </c>
      <c r="D161">
        <v>995743</v>
      </c>
    </row>
    <row r="162" spans="1:4" x14ac:dyDescent="0.25">
      <c r="A162" t="str">
        <f>T("110423")</f>
        <v>110423</v>
      </c>
      <c r="B162" t="str">
        <f>T("Grains de maïs, mondés, perlés, tranchés, concassés ou autrement travaillés (à l'excl. de la farine de maïs)")</f>
        <v>Grains de maïs, mondés, perlés, tranchés, concassés ou autrement travaillés (à l'excl. de la farine de maïs)</v>
      </c>
    </row>
    <row r="163" spans="1:4" x14ac:dyDescent="0.25">
      <c r="A163" t="str">
        <f>T("   ZZZ_Monde")</f>
        <v xml:space="preserve">   ZZZ_Monde</v>
      </c>
      <c r="B163" t="str">
        <f>T("   ZZZ_Monde")</f>
        <v xml:space="preserve">   ZZZ_Monde</v>
      </c>
      <c r="C163">
        <v>90140000</v>
      </c>
      <c r="D163">
        <v>280140</v>
      </c>
    </row>
    <row r="164" spans="1:4" x14ac:dyDescent="0.25">
      <c r="A164" t="str">
        <f>T("   NE")</f>
        <v xml:space="preserve">   NE</v>
      </c>
      <c r="B164" t="str">
        <f>T("   Niger")</f>
        <v xml:space="preserve">   Niger</v>
      </c>
      <c r="C164">
        <v>90140000</v>
      </c>
      <c r="D164">
        <v>280140</v>
      </c>
    </row>
    <row r="165" spans="1:4" x14ac:dyDescent="0.25">
      <c r="A165" t="str">
        <f>T("110620")</f>
        <v>110620</v>
      </c>
      <c r="B165" t="str">
        <f>T("Farines, semoules et poudres de sagou ou des racines ou tubercules du n° 0714")</f>
        <v>Farines, semoules et poudres de sagou ou des racines ou tubercules du n° 0714</v>
      </c>
    </row>
    <row r="166" spans="1:4" x14ac:dyDescent="0.25">
      <c r="A166" t="str">
        <f>T("   ZZZ_Monde")</f>
        <v xml:space="preserve">   ZZZ_Monde</v>
      </c>
      <c r="B166" t="str">
        <f>T("   ZZZ_Monde")</f>
        <v xml:space="preserve">   ZZZ_Monde</v>
      </c>
      <c r="C166">
        <v>19848815</v>
      </c>
      <c r="D166">
        <v>139160</v>
      </c>
    </row>
    <row r="167" spans="1:4" x14ac:dyDescent="0.25">
      <c r="A167" t="str">
        <f>T("   CD")</f>
        <v xml:space="preserve">   CD</v>
      </c>
      <c r="B167" t="str">
        <f>T("   Congo, République Démocratique")</f>
        <v xml:space="preserve">   Congo, République Démocratique</v>
      </c>
      <c r="C167">
        <v>472000</v>
      </c>
      <c r="D167">
        <v>1370</v>
      </c>
    </row>
    <row r="168" spans="1:4" x14ac:dyDescent="0.25">
      <c r="A168" t="str">
        <f>T("   CG")</f>
        <v xml:space="preserve">   CG</v>
      </c>
      <c r="B168" t="str">
        <f>T("   Congo (Brazzaville)")</f>
        <v xml:space="preserve">   Congo (Brazzaville)</v>
      </c>
      <c r="C168">
        <v>1590000</v>
      </c>
      <c r="D168">
        <v>30000</v>
      </c>
    </row>
    <row r="169" spans="1:4" x14ac:dyDescent="0.25">
      <c r="A169" t="str">
        <f>T("   FR")</f>
        <v xml:space="preserve">   FR</v>
      </c>
      <c r="B169" t="str">
        <f>T("   France")</f>
        <v xml:space="preserve">   France</v>
      </c>
      <c r="C169">
        <v>8083315</v>
      </c>
      <c r="D169">
        <v>40280</v>
      </c>
    </row>
    <row r="170" spans="1:4" x14ac:dyDescent="0.25">
      <c r="A170" t="str">
        <f>T("   GA")</f>
        <v xml:space="preserve">   GA</v>
      </c>
      <c r="B170" t="str">
        <f>T("   Gabon")</f>
        <v xml:space="preserve">   Gabon</v>
      </c>
      <c r="C170">
        <v>9053500</v>
      </c>
      <c r="D170">
        <v>54510</v>
      </c>
    </row>
    <row r="171" spans="1:4" x14ac:dyDescent="0.25">
      <c r="A171" t="str">
        <f>T("   US")</f>
        <v xml:space="preserve">   US</v>
      </c>
      <c r="B171" t="str">
        <f>T("   Etats-Unis")</f>
        <v xml:space="preserve">   Etats-Unis</v>
      </c>
      <c r="C171">
        <v>650000</v>
      </c>
      <c r="D171">
        <v>13000</v>
      </c>
    </row>
    <row r="172" spans="1:4" x14ac:dyDescent="0.25">
      <c r="A172" t="str">
        <f>T("110630")</f>
        <v>110630</v>
      </c>
      <c r="B172" t="s">
        <v>13</v>
      </c>
    </row>
    <row r="173" spans="1:4" x14ac:dyDescent="0.25">
      <c r="A173" t="str">
        <f>T("   ZZZ_Monde")</f>
        <v xml:space="preserve">   ZZZ_Monde</v>
      </c>
      <c r="B173" t="str">
        <f>T("   ZZZ_Monde")</f>
        <v xml:space="preserve">   ZZZ_Monde</v>
      </c>
      <c r="C173">
        <v>10000000</v>
      </c>
      <c r="D173">
        <v>9900</v>
      </c>
    </row>
    <row r="174" spans="1:4" x14ac:dyDescent="0.25">
      <c r="A174" t="str">
        <f>T("   SM")</f>
        <v xml:space="preserve">   SM</v>
      </c>
      <c r="B174" t="str">
        <f>T("   Saint-Marin")</f>
        <v xml:space="preserve">   Saint-Marin</v>
      </c>
      <c r="C174">
        <v>10000000</v>
      </c>
      <c r="D174">
        <v>9900</v>
      </c>
    </row>
    <row r="175" spans="1:4" x14ac:dyDescent="0.25">
      <c r="A175" t="str">
        <f>T("120710")</f>
        <v>120710</v>
      </c>
      <c r="B175" t="str">
        <f>T("NOIX ET AMANDES DE PALMISTES")</f>
        <v>NOIX ET AMANDES DE PALMISTES</v>
      </c>
    </row>
    <row r="176" spans="1:4" x14ac:dyDescent="0.25">
      <c r="A176" t="str">
        <f>T("   ZZZ_Monde")</f>
        <v xml:space="preserve">   ZZZ_Monde</v>
      </c>
      <c r="B176" t="str">
        <f>T("   ZZZ_Monde")</f>
        <v xml:space="preserve">   ZZZ_Monde</v>
      </c>
      <c r="C176">
        <v>1274089758</v>
      </c>
      <c r="D176">
        <v>19737.59</v>
      </c>
    </row>
    <row r="177" spans="1:4" x14ac:dyDescent="0.25">
      <c r="A177" t="str">
        <f>T("   BE")</f>
        <v xml:space="preserve">   BE</v>
      </c>
      <c r="B177" t="str">
        <f>T("   Belgique")</f>
        <v xml:space="preserve">   Belgique</v>
      </c>
      <c r="C177">
        <v>46048181</v>
      </c>
      <c r="D177">
        <v>448</v>
      </c>
    </row>
    <row r="178" spans="1:4" x14ac:dyDescent="0.25">
      <c r="A178" t="str">
        <f>T("   CD")</f>
        <v xml:space="preserve">   CD</v>
      </c>
      <c r="B178" t="str">
        <f>T("   Congo, République Démocratique")</f>
        <v xml:space="preserve">   Congo, République Démocratique</v>
      </c>
      <c r="C178">
        <v>146560793</v>
      </c>
      <c r="D178">
        <v>1518</v>
      </c>
    </row>
    <row r="179" spans="1:4" x14ac:dyDescent="0.25">
      <c r="A179" t="str">
        <f>T("   CL")</f>
        <v xml:space="preserve">   CL</v>
      </c>
      <c r="B179" t="str">
        <f>T("   Chili")</f>
        <v xml:space="preserve">   Chili</v>
      </c>
      <c r="C179">
        <v>30000</v>
      </c>
      <c r="D179">
        <v>10</v>
      </c>
    </row>
    <row r="180" spans="1:4" x14ac:dyDescent="0.25">
      <c r="A180" t="str">
        <f>T("   CO")</f>
        <v xml:space="preserve">   CO</v>
      </c>
      <c r="B180" t="str">
        <f>T("   Colombie")</f>
        <v xml:space="preserve">   Colombie</v>
      </c>
      <c r="C180">
        <v>80000</v>
      </c>
      <c r="D180">
        <v>48.06</v>
      </c>
    </row>
    <row r="181" spans="1:4" x14ac:dyDescent="0.25">
      <c r="A181" t="str">
        <f>T("   EC")</f>
        <v xml:space="preserve">   EC</v>
      </c>
      <c r="B181" t="str">
        <f>T("   Equateur")</f>
        <v xml:space="preserve">   Equateur</v>
      </c>
      <c r="C181">
        <v>90000</v>
      </c>
      <c r="D181">
        <v>223.75</v>
      </c>
    </row>
    <row r="182" spans="1:4" x14ac:dyDescent="0.25">
      <c r="A182" t="str">
        <f>T("   FR")</f>
        <v xml:space="preserve">   FR</v>
      </c>
      <c r="B182" t="str">
        <f>T("   France")</f>
        <v xml:space="preserve">   France</v>
      </c>
      <c r="C182">
        <v>62971872</v>
      </c>
      <c r="D182">
        <v>1360</v>
      </c>
    </row>
    <row r="183" spans="1:4" x14ac:dyDescent="0.25">
      <c r="A183" t="str">
        <f>T("   GA")</f>
        <v xml:space="preserve">   GA</v>
      </c>
      <c r="B183" t="str">
        <f>T("   Gabon")</f>
        <v xml:space="preserve">   Gabon</v>
      </c>
      <c r="C183">
        <v>31485936</v>
      </c>
      <c r="D183">
        <v>374</v>
      </c>
    </row>
    <row r="184" spans="1:4" x14ac:dyDescent="0.25">
      <c r="A184" t="str">
        <f>T("   GH")</f>
        <v xml:space="preserve">   GH</v>
      </c>
      <c r="B184" t="str">
        <f>T("   Ghana")</f>
        <v xml:space="preserve">   Ghana</v>
      </c>
      <c r="C184">
        <v>103313228</v>
      </c>
      <c r="D184">
        <v>1188</v>
      </c>
    </row>
    <row r="185" spans="1:4" x14ac:dyDescent="0.25">
      <c r="A185" t="str">
        <f>T("   GN")</f>
        <v xml:space="preserve">   GN</v>
      </c>
      <c r="B185" t="str">
        <f>T("   Guinée")</f>
        <v xml:space="preserve">   Guinée</v>
      </c>
      <c r="C185">
        <v>48016052</v>
      </c>
      <c r="D185">
        <v>490</v>
      </c>
    </row>
    <row r="186" spans="1:4" x14ac:dyDescent="0.25">
      <c r="A186" t="str">
        <f>T("   ID")</f>
        <v xml:space="preserve">   ID</v>
      </c>
      <c r="B186" t="str">
        <f>T("   Indonésie")</f>
        <v xml:space="preserve">   Indonésie</v>
      </c>
      <c r="C186">
        <v>30000</v>
      </c>
      <c r="D186">
        <v>13</v>
      </c>
    </row>
    <row r="187" spans="1:4" x14ac:dyDescent="0.25">
      <c r="A187" t="str">
        <f>T("   IN")</f>
        <v xml:space="preserve">   IN</v>
      </c>
      <c r="B187" t="str">
        <f>T("   Inde")</f>
        <v xml:space="preserve">   Inde</v>
      </c>
      <c r="C187">
        <v>302480113</v>
      </c>
      <c r="D187">
        <v>5938.88</v>
      </c>
    </row>
    <row r="188" spans="1:4" x14ac:dyDescent="0.25">
      <c r="A188" t="str">
        <f>T("   LB")</f>
        <v xml:space="preserve">   LB</v>
      </c>
      <c r="B188" t="str">
        <f>T("   Liban")</f>
        <v xml:space="preserve">   Liban</v>
      </c>
      <c r="C188">
        <v>45916991</v>
      </c>
      <c r="D188">
        <v>478</v>
      </c>
    </row>
    <row r="189" spans="1:4" x14ac:dyDescent="0.25">
      <c r="A189" t="str">
        <f>T("   LR")</f>
        <v xml:space="preserve">   LR</v>
      </c>
      <c r="B189" t="str">
        <f>T("   Libéria")</f>
        <v xml:space="preserve">   Libéria</v>
      </c>
      <c r="C189">
        <v>198426998</v>
      </c>
      <c r="D189">
        <v>1981</v>
      </c>
    </row>
    <row r="190" spans="1:4" x14ac:dyDescent="0.25">
      <c r="A190" t="str">
        <f>T("   NG")</f>
        <v xml:space="preserve">   NG</v>
      </c>
      <c r="B190" t="str">
        <f>T("   Nigéria")</f>
        <v xml:space="preserve">   Nigéria</v>
      </c>
      <c r="C190">
        <v>89864623</v>
      </c>
      <c r="D190">
        <v>1236.9000000000001</v>
      </c>
    </row>
    <row r="191" spans="1:4" x14ac:dyDescent="0.25">
      <c r="A191" t="str">
        <f>T("   TH")</f>
        <v xml:space="preserve">   TH</v>
      </c>
      <c r="B191" t="str">
        <f>T("   Thaïlande")</f>
        <v xml:space="preserve">   Thaïlande</v>
      </c>
      <c r="C191">
        <v>151546067</v>
      </c>
      <c r="D191">
        <v>3386</v>
      </c>
    </row>
    <row r="192" spans="1:4" x14ac:dyDescent="0.25">
      <c r="A192" t="str">
        <f>T("   TM")</f>
        <v xml:space="preserve">   TM</v>
      </c>
      <c r="B192" t="str">
        <f>T("   Turkménistan")</f>
        <v xml:space="preserve">   Turkménistan</v>
      </c>
      <c r="C192">
        <v>47228904</v>
      </c>
      <c r="D192">
        <v>1044</v>
      </c>
    </row>
    <row r="193" spans="1:4" x14ac:dyDescent="0.25">
      <c r="A193" t="str">
        <f>T("120740")</f>
        <v>120740</v>
      </c>
      <c r="B193" t="str">
        <f>T("Graines de sésame, même concassées")</f>
        <v>Graines de sésame, même concassées</v>
      </c>
    </row>
    <row r="194" spans="1:4" x14ac:dyDescent="0.25">
      <c r="A194" t="str">
        <f>T("   ZZZ_Monde")</f>
        <v xml:space="preserve">   ZZZ_Monde</v>
      </c>
      <c r="B194" t="str">
        <f>T("   ZZZ_Monde")</f>
        <v xml:space="preserve">   ZZZ_Monde</v>
      </c>
      <c r="C194">
        <v>73130000</v>
      </c>
      <c r="D194">
        <v>410000</v>
      </c>
    </row>
    <row r="195" spans="1:4" x14ac:dyDescent="0.25">
      <c r="A195" t="str">
        <f>T("   CN")</f>
        <v xml:space="preserve">   CN</v>
      </c>
      <c r="B195" t="str">
        <f>T("   Chine")</f>
        <v xml:space="preserve">   Chine</v>
      </c>
      <c r="C195">
        <v>73130000</v>
      </c>
      <c r="D195">
        <v>410000</v>
      </c>
    </row>
    <row r="196" spans="1:4" x14ac:dyDescent="0.25">
      <c r="A196" t="str">
        <f>T("120799")</f>
        <v>120799</v>
      </c>
      <c r="B196" t="str">
        <f>T("GRAINES ET FRUITS OLÉAGINEUX, MÊME CONCASSÉS (À L'EXCL. DES FRUITS À COQUE COMESTIBLES, DES OLIVES, DES FÈVES DE SOJA, DES ARACHIDES, DU COPRAH ET DES GRAINES DE LIN, DE NAVETTE, DE COLZA, DE TOURNESOL, DE COTON, DE SÉSAME, DE MOUTARDE, D'OEILLETTE OU DE")</f>
        <v>GRAINES ET FRUITS OLÉAGINEUX, MÊME CONCASSÉS (À L'EXCL. DES FRUITS À COQUE COMESTIBLES, DES OLIVES, DES FÈVES DE SOJA, DES ARACHIDES, DU COPRAH ET DES GRAINES DE LIN, DE NAVETTE, DE COLZA, DE TOURNESOL, DE COTON, DE SÉSAME, DE MOUTARDE, D'OEILLETTE OU DE</v>
      </c>
    </row>
    <row r="197" spans="1:4" x14ac:dyDescent="0.25">
      <c r="A197" t="str">
        <f>T("   ZZZ_Monde")</f>
        <v xml:space="preserve">   ZZZ_Monde</v>
      </c>
      <c r="B197" t="str">
        <f>T("   ZZZ_Monde")</f>
        <v xml:space="preserve">   ZZZ_Monde</v>
      </c>
      <c r="C197">
        <v>524994357</v>
      </c>
      <c r="D197">
        <v>2880655</v>
      </c>
    </row>
    <row r="198" spans="1:4" x14ac:dyDescent="0.25">
      <c r="A198" t="str">
        <f>T("   BE")</f>
        <v xml:space="preserve">   BE</v>
      </c>
      <c r="B198" t="str">
        <f>T("   Belgique")</f>
        <v xml:space="preserve">   Belgique</v>
      </c>
      <c r="C198">
        <v>12966503</v>
      </c>
      <c r="D198">
        <v>35283</v>
      </c>
    </row>
    <row r="199" spans="1:4" x14ac:dyDescent="0.25">
      <c r="A199" t="str">
        <f>T("   ES")</f>
        <v xml:space="preserve">   ES</v>
      </c>
      <c r="B199" t="str">
        <f>T("   Espagne")</f>
        <v xml:space="preserve">   Espagne</v>
      </c>
      <c r="C199">
        <v>190400000</v>
      </c>
      <c r="D199">
        <v>880000</v>
      </c>
    </row>
    <row r="200" spans="1:4" x14ac:dyDescent="0.25">
      <c r="A200" t="str">
        <f>T("   IN")</f>
        <v xml:space="preserve">   IN</v>
      </c>
      <c r="B200" t="str">
        <f>T("   Inde")</f>
        <v xml:space="preserve">   Inde</v>
      </c>
      <c r="C200">
        <v>321627854</v>
      </c>
      <c r="D200">
        <v>1965372</v>
      </c>
    </row>
    <row r="201" spans="1:4" x14ac:dyDescent="0.25">
      <c r="A201" t="str">
        <f>T("121190")</f>
        <v>121190</v>
      </c>
      <c r="B201" t="str">
        <f>T("PLANTES, PARTIES DE PLANTES, GRAINES ET FRUITS DES ESPÈCES UTILISÉES PRINCIPALEMENT EN PARFUMERIE, EN MÉDECINE OU À USAGES INSECTICIDES, PARASITICIDES OU SIMIL., FRAIS OU SECS, MÊME COUPÉS, CONCASSÉS OU PULVÉRISÉS (À L'EXCL. DES RACINES DE GINSENG, DES FE")</f>
        <v>PLANTES, PARTIES DE PLANTES, GRAINES ET FRUITS DES ESPÈCES UTILISÉES PRINCIPALEMENT EN PARFUMERIE, EN MÉDECINE OU À USAGES INSECTICIDES, PARASITICIDES OU SIMIL., FRAIS OU SECS, MÊME COUPÉS, CONCASSÉS OU PULVÉRISÉS (À L'EXCL. DES RACINES DE GINSENG, DES FE</v>
      </c>
    </row>
    <row r="202" spans="1:4" x14ac:dyDescent="0.25">
      <c r="A202" t="str">
        <f>T("   ZZZ_Monde")</f>
        <v xml:space="preserve">   ZZZ_Monde</v>
      </c>
      <c r="B202" t="str">
        <f>T("   ZZZ_Monde")</f>
        <v xml:space="preserve">   ZZZ_Monde</v>
      </c>
      <c r="C202">
        <v>65596</v>
      </c>
      <c r="D202">
        <v>5</v>
      </c>
    </row>
    <row r="203" spans="1:4" x14ac:dyDescent="0.25">
      <c r="A203" t="str">
        <f>T("   FR")</f>
        <v xml:space="preserve">   FR</v>
      </c>
      <c r="B203" t="str">
        <f>T("   France")</f>
        <v xml:space="preserve">   France</v>
      </c>
      <c r="C203">
        <v>65596</v>
      </c>
      <c r="D203">
        <v>5</v>
      </c>
    </row>
    <row r="204" spans="1:4" x14ac:dyDescent="0.25">
      <c r="A204" t="str">
        <f>T("121299")</f>
        <v>121299</v>
      </c>
      <c r="B204" t="str">
        <f>T("NOYAUX ET AMANDES DE FRUITS ET AUTRES PRODUITS VÉGÉTAUX - Y.C. LES RACINES DE CHICORÉE NON-TORRÉFIÉES DE LA VARIÉTÉ 'CICHORIUM INTYBUS SATIVUM' -, SERVANT PRINCIPALEMENT À L'ALIMENTATION HUMAINE, N.D.A.")</f>
        <v>NOYAUX ET AMANDES DE FRUITS ET AUTRES PRODUITS VÉGÉTAUX - Y.C. LES RACINES DE CHICORÉE NON-TORRÉFIÉES DE LA VARIÉTÉ 'CICHORIUM INTYBUS SATIVUM' -, SERVANT PRINCIPALEMENT À L'ALIMENTATION HUMAINE, N.D.A.</v>
      </c>
    </row>
    <row r="205" spans="1:4" x14ac:dyDescent="0.25">
      <c r="A205" t="str">
        <f>T("   ZZZ_Monde")</f>
        <v xml:space="preserve">   ZZZ_Monde</v>
      </c>
      <c r="B205" t="str">
        <f>T("   ZZZ_Monde")</f>
        <v xml:space="preserve">   ZZZ_Monde</v>
      </c>
      <c r="C205">
        <v>156146628</v>
      </c>
      <c r="D205">
        <v>810820</v>
      </c>
    </row>
    <row r="206" spans="1:4" x14ac:dyDescent="0.25">
      <c r="A206" t="str">
        <f>T("   ES")</f>
        <v xml:space="preserve">   ES</v>
      </c>
      <c r="B206" t="str">
        <f>T("   Espagne")</f>
        <v xml:space="preserve">   Espagne</v>
      </c>
      <c r="C206">
        <v>156146628</v>
      </c>
      <c r="D206">
        <v>810820</v>
      </c>
    </row>
    <row r="207" spans="1:4" x14ac:dyDescent="0.25">
      <c r="A207" t="str">
        <f>T("130120")</f>
        <v>130120</v>
      </c>
      <c r="B207" t="str">
        <f>T("Gomme arabique")</f>
        <v>Gomme arabique</v>
      </c>
    </row>
    <row r="208" spans="1:4" x14ac:dyDescent="0.25">
      <c r="A208" t="str">
        <f>T("   ZZZ_Monde")</f>
        <v xml:space="preserve">   ZZZ_Monde</v>
      </c>
      <c r="B208" t="str">
        <f>T("   ZZZ_Monde")</f>
        <v xml:space="preserve">   ZZZ_Monde</v>
      </c>
      <c r="C208">
        <v>4400000</v>
      </c>
      <c r="D208">
        <v>22000</v>
      </c>
    </row>
    <row r="209" spans="1:4" x14ac:dyDescent="0.25">
      <c r="A209" t="str">
        <f>T("   FR")</f>
        <v xml:space="preserve">   FR</v>
      </c>
      <c r="B209" t="str">
        <f>T("   France")</f>
        <v xml:space="preserve">   France</v>
      </c>
      <c r="C209">
        <v>4400000</v>
      </c>
      <c r="D209">
        <v>22000</v>
      </c>
    </row>
    <row r="210" spans="1:4" x14ac:dyDescent="0.25">
      <c r="A210" t="str">
        <f>T("140420")</f>
        <v>140420</v>
      </c>
      <c r="B210" t="str">
        <f>T("Linters de coton")</f>
        <v>Linters de coton</v>
      </c>
    </row>
    <row r="211" spans="1:4" x14ac:dyDescent="0.25">
      <c r="A211" t="str">
        <f>T("   ZZZ_Monde")</f>
        <v xml:space="preserve">   ZZZ_Monde</v>
      </c>
      <c r="B211" t="str">
        <f>T("   ZZZ_Monde")</f>
        <v xml:space="preserve">   ZZZ_Monde</v>
      </c>
      <c r="C211">
        <v>279609337</v>
      </c>
      <c r="D211">
        <v>1296243</v>
      </c>
    </row>
    <row r="212" spans="1:4" x14ac:dyDescent="0.25">
      <c r="A212" t="str">
        <f>T("   CN")</f>
        <v xml:space="preserve">   CN</v>
      </c>
      <c r="B212" t="str">
        <f>T("   Chine")</f>
        <v xml:space="preserve">   Chine</v>
      </c>
      <c r="C212">
        <v>279609337</v>
      </c>
      <c r="D212">
        <v>1296243</v>
      </c>
    </row>
    <row r="213" spans="1:4" x14ac:dyDescent="0.25">
      <c r="A213" t="str">
        <f>T("140490")</f>
        <v>140490</v>
      </c>
      <c r="B213" t="str">
        <f>T("Produits végétaux, n.d.a.")</f>
        <v>Produits végétaux, n.d.a.</v>
      </c>
    </row>
    <row r="214" spans="1:4" x14ac:dyDescent="0.25">
      <c r="A214" t="str">
        <f>T("   ZZZ_Monde")</f>
        <v xml:space="preserve">   ZZZ_Monde</v>
      </c>
      <c r="B214" t="str">
        <f>T("   ZZZ_Monde")</f>
        <v xml:space="preserve">   ZZZ_Monde</v>
      </c>
      <c r="C214">
        <v>3594661</v>
      </c>
      <c r="D214">
        <v>5474</v>
      </c>
    </row>
    <row r="215" spans="1:4" x14ac:dyDescent="0.25">
      <c r="A215" t="str">
        <f>T("   ES")</f>
        <v xml:space="preserve">   ES</v>
      </c>
      <c r="B215" t="str">
        <f>T("   Espagne")</f>
        <v xml:space="preserve">   Espagne</v>
      </c>
      <c r="C215">
        <v>3521193</v>
      </c>
      <c r="D215">
        <v>5250</v>
      </c>
    </row>
    <row r="216" spans="1:4" x14ac:dyDescent="0.25">
      <c r="A216" t="str">
        <f>T("   FR")</f>
        <v xml:space="preserve">   FR</v>
      </c>
      <c r="B216" t="str">
        <f>T("   France")</f>
        <v xml:space="preserve">   France</v>
      </c>
      <c r="C216">
        <v>73468</v>
      </c>
      <c r="D216">
        <v>224</v>
      </c>
    </row>
    <row r="217" spans="1:4" x14ac:dyDescent="0.25">
      <c r="A217" t="str">
        <f>T("150200")</f>
        <v>150200</v>
      </c>
      <c r="B217" t="str">
        <f>T("GRAISSES DES ANIMAUX DES ESPÈCES BOVINE, OVINE OU CAPRINE (SAUF STÉARINE SOLAIRE, HUILE DE SAINDOUX, OLÉOSTÉARINE, OLÉOMARGARINE ET HUILE DE SUIF, NON-ÉMULSIONNÉES, NI MÉLANGÉES, NI AUTREMENT PRÉPARÉES)")</f>
        <v>GRAISSES DES ANIMAUX DES ESPÈCES BOVINE, OVINE OU CAPRINE (SAUF STÉARINE SOLAIRE, HUILE DE SAINDOUX, OLÉOSTÉARINE, OLÉOMARGARINE ET HUILE DE SUIF, NON-ÉMULSIONNÉES, NI MÉLANGÉES, NI AUTREMENT PRÉPARÉES)</v>
      </c>
    </row>
    <row r="218" spans="1:4" x14ac:dyDescent="0.25">
      <c r="A218" t="str">
        <f>T("   ZZZ_Monde")</f>
        <v xml:space="preserve">   ZZZ_Monde</v>
      </c>
      <c r="B218" t="str">
        <f>T("   ZZZ_Monde")</f>
        <v xml:space="preserve">   ZZZ_Monde</v>
      </c>
      <c r="C218">
        <v>1302450</v>
      </c>
      <c r="D218">
        <v>900</v>
      </c>
    </row>
    <row r="219" spans="1:4" x14ac:dyDescent="0.25">
      <c r="A219" t="str">
        <f>T("   GQ")</f>
        <v xml:space="preserve">   GQ</v>
      </c>
      <c r="B219" t="str">
        <f>T("   Guinée Equatoriale")</f>
        <v xml:space="preserve">   Guinée Equatoriale</v>
      </c>
      <c r="C219">
        <v>1302450</v>
      </c>
      <c r="D219">
        <v>900</v>
      </c>
    </row>
    <row r="220" spans="1:4" x14ac:dyDescent="0.25">
      <c r="A220" t="str">
        <f>T("150790")</f>
        <v>150790</v>
      </c>
      <c r="B220" t="str">
        <f>T("Huile de soja et ses fractions, même raffinées, mais non chimiquement modifiées (à l'excl. de l'huile de soja brute)")</f>
        <v>Huile de soja et ses fractions, même raffinées, mais non chimiquement modifiées (à l'excl. de l'huile de soja brute)</v>
      </c>
    </row>
    <row r="221" spans="1:4" x14ac:dyDescent="0.25">
      <c r="A221" t="str">
        <f>T("   ZZZ_Monde")</f>
        <v xml:space="preserve">   ZZZ_Monde</v>
      </c>
      <c r="B221" t="str">
        <f>T("   ZZZ_Monde")</f>
        <v xml:space="preserve">   ZZZ_Monde</v>
      </c>
      <c r="C221">
        <v>491946108</v>
      </c>
      <c r="D221">
        <v>660460</v>
      </c>
    </row>
    <row r="222" spans="1:4" x14ac:dyDescent="0.25">
      <c r="A222" t="str">
        <f>T("   SN")</f>
        <v xml:space="preserve">   SN</v>
      </c>
      <c r="B222" t="str">
        <f>T("   Sénégal")</f>
        <v xml:space="preserve">   Sénégal</v>
      </c>
      <c r="C222">
        <v>491946108</v>
      </c>
      <c r="D222">
        <v>660460</v>
      </c>
    </row>
    <row r="223" spans="1:4" x14ac:dyDescent="0.25">
      <c r="A223" t="str">
        <f>T("150890")</f>
        <v>150890</v>
      </c>
      <c r="B223" t="str">
        <f>T("Huile d'arachide et ses fractions, même raffinées, mais non chimiquement modifiées (à l'excl. de l'huile d'arachide brute)")</f>
        <v>Huile d'arachide et ses fractions, même raffinées, mais non chimiquement modifiées (à l'excl. de l'huile d'arachide brute)</v>
      </c>
    </row>
    <row r="224" spans="1:4" x14ac:dyDescent="0.25">
      <c r="A224" t="str">
        <f>T("   ZZZ_Monde")</f>
        <v xml:space="preserve">   ZZZ_Monde</v>
      </c>
      <c r="B224" t="str">
        <f>T("   ZZZ_Monde")</f>
        <v xml:space="preserve">   ZZZ_Monde</v>
      </c>
      <c r="C224">
        <v>100573600</v>
      </c>
      <c r="D224">
        <v>131900</v>
      </c>
    </row>
    <row r="225" spans="1:4" x14ac:dyDescent="0.25">
      <c r="A225" t="str">
        <f>T("   NG")</f>
        <v xml:space="preserve">   NG</v>
      </c>
      <c r="B225" t="str">
        <f>T("   Nigéria")</f>
        <v xml:space="preserve">   Nigéria</v>
      </c>
      <c r="C225">
        <v>100573600</v>
      </c>
      <c r="D225">
        <v>131900</v>
      </c>
    </row>
    <row r="226" spans="1:4" x14ac:dyDescent="0.25">
      <c r="A226" t="str">
        <f>T("151110")</f>
        <v>151110</v>
      </c>
      <c r="B226" t="str">
        <f>T("Huile de palme, brute")</f>
        <v>Huile de palme, brute</v>
      </c>
    </row>
    <row r="227" spans="1:4" x14ac:dyDescent="0.25">
      <c r="A227" t="str">
        <f>T("   ZZZ_Monde")</f>
        <v xml:space="preserve">   ZZZ_Monde</v>
      </c>
      <c r="B227" t="str">
        <f>T("   ZZZ_Monde")</f>
        <v xml:space="preserve">   ZZZ_Monde</v>
      </c>
      <c r="C227">
        <v>74580519</v>
      </c>
      <c r="D227">
        <v>124400</v>
      </c>
    </row>
    <row r="228" spans="1:4" x14ac:dyDescent="0.25">
      <c r="A228" t="str">
        <f>T("   BE")</f>
        <v xml:space="preserve">   BE</v>
      </c>
      <c r="B228" t="str">
        <f>T("   Belgique")</f>
        <v xml:space="preserve">   Belgique</v>
      </c>
      <c r="C228">
        <v>51987425</v>
      </c>
      <c r="D228">
        <v>84400</v>
      </c>
    </row>
    <row r="229" spans="1:4" x14ac:dyDescent="0.25">
      <c r="A229" t="str">
        <f>T("   NL")</f>
        <v xml:space="preserve">   NL</v>
      </c>
      <c r="B229" t="str">
        <f>T("   Pays-bas")</f>
        <v xml:space="preserve">   Pays-bas</v>
      </c>
      <c r="C229">
        <v>22593094</v>
      </c>
      <c r="D229">
        <v>40000</v>
      </c>
    </row>
    <row r="230" spans="1:4" x14ac:dyDescent="0.25">
      <c r="A230" t="str">
        <f>T("151190")</f>
        <v>151190</v>
      </c>
      <c r="B230" t="str">
        <f>T("Huile de palme et ses fractions, même raffinées, mais non chimiquement modifiées (à l'excl. de l'huile de palme brute)")</f>
        <v>Huile de palme et ses fractions, même raffinées, mais non chimiquement modifiées (à l'excl. de l'huile de palme brute)</v>
      </c>
    </row>
    <row r="231" spans="1:4" x14ac:dyDescent="0.25">
      <c r="A231" t="str">
        <f>T("   ZZZ_Monde")</f>
        <v xml:space="preserve">   ZZZ_Monde</v>
      </c>
      <c r="B231" t="str">
        <f>T("   ZZZ_Monde")</f>
        <v xml:space="preserve">   ZZZ_Monde</v>
      </c>
      <c r="C231">
        <v>1260447100</v>
      </c>
      <c r="D231">
        <v>1696240</v>
      </c>
    </row>
    <row r="232" spans="1:4" x14ac:dyDescent="0.25">
      <c r="A232" t="str">
        <f>T("   NG")</f>
        <v xml:space="preserve">   NG</v>
      </c>
      <c r="B232" t="str">
        <f>T("   Nigéria")</f>
        <v xml:space="preserve">   Nigéria</v>
      </c>
      <c r="C232">
        <v>1260447100</v>
      </c>
      <c r="D232">
        <v>1696240</v>
      </c>
    </row>
    <row r="233" spans="1:4" x14ac:dyDescent="0.25">
      <c r="A233" t="str">
        <f>T("151219")</f>
        <v>151219</v>
      </c>
      <c r="B233" t="str">
        <f>T("Huiles de tournesol ou de carthame et leurs fractions, même raffinées, mais non chimiquement modifiées (à l'excl. des huiles brutes)")</f>
        <v>Huiles de tournesol ou de carthame et leurs fractions, même raffinées, mais non chimiquement modifiées (à l'excl. des huiles brutes)</v>
      </c>
    </row>
    <row r="234" spans="1:4" x14ac:dyDescent="0.25">
      <c r="A234" t="str">
        <f>T("   ZZZ_Monde")</f>
        <v xml:space="preserve">   ZZZ_Monde</v>
      </c>
      <c r="B234" t="str">
        <f>T("   ZZZ_Monde")</f>
        <v xml:space="preserve">   ZZZ_Monde</v>
      </c>
      <c r="C234">
        <v>1059882520</v>
      </c>
      <c r="D234">
        <v>1436670</v>
      </c>
    </row>
    <row r="235" spans="1:4" x14ac:dyDescent="0.25">
      <c r="A235" t="str">
        <f>T("   NG")</f>
        <v xml:space="preserve">   NG</v>
      </c>
      <c r="B235" t="str">
        <f>T("   Nigéria")</f>
        <v xml:space="preserve">   Nigéria</v>
      </c>
      <c r="C235">
        <v>1059882520</v>
      </c>
      <c r="D235">
        <v>1436670</v>
      </c>
    </row>
    <row r="236" spans="1:4" x14ac:dyDescent="0.25">
      <c r="A236" t="str">
        <f>T("151229")</f>
        <v>151229</v>
      </c>
      <c r="B236" t="str">
        <f>T("Huile de coton et ses fractions, même dépourvues de gossipol ou raffinées, mais non chimiquement modifiées (à l'excl. de l'huile de coton brute)")</f>
        <v>Huile de coton et ses fractions, même dépourvues de gossipol ou raffinées, mais non chimiquement modifiées (à l'excl. de l'huile de coton brute)</v>
      </c>
    </row>
    <row r="237" spans="1:4" x14ac:dyDescent="0.25">
      <c r="A237" t="str">
        <f>T("   ZZZ_Monde")</f>
        <v xml:space="preserve">   ZZZ_Monde</v>
      </c>
      <c r="B237" t="str">
        <f>T("   ZZZ_Monde")</f>
        <v xml:space="preserve">   ZZZ_Monde</v>
      </c>
      <c r="C237">
        <v>5229830104</v>
      </c>
      <c r="D237">
        <v>7096140</v>
      </c>
    </row>
    <row r="238" spans="1:4" x14ac:dyDescent="0.25">
      <c r="A238" t="str">
        <f>T("   NG")</f>
        <v xml:space="preserve">   NG</v>
      </c>
      <c r="B238" t="str">
        <f>T("   Nigéria")</f>
        <v xml:space="preserve">   Nigéria</v>
      </c>
      <c r="C238">
        <v>5015609700</v>
      </c>
      <c r="D238">
        <v>6797200</v>
      </c>
    </row>
    <row r="239" spans="1:4" x14ac:dyDescent="0.25">
      <c r="A239" t="str">
        <f>T("   SN")</f>
        <v xml:space="preserve">   SN</v>
      </c>
      <c r="B239" t="str">
        <f>T("   Sénégal")</f>
        <v xml:space="preserve">   Sénégal</v>
      </c>
      <c r="C239">
        <v>214220404</v>
      </c>
      <c r="D239">
        <v>298940</v>
      </c>
    </row>
    <row r="240" spans="1:4" x14ac:dyDescent="0.25">
      <c r="A240" t="str">
        <f>T("151590")</f>
        <v>151590</v>
      </c>
      <c r="B240" t="str">
        <f>T("Graisses et huiles végétales et leurs fractions, fixes, même raffinées, mais non chimiquement modifiées (à l'excl. des huiles de soja, d'arachide, d'olive, de palme, de tournesol, de carthame, de coton, de coco [coprah], de palmiste, de babassu, de navett")</f>
        <v>Graisses et huiles végétales et leurs fractions, fixes, même raffinées, mais non chimiquement modifiées (à l'excl. des huiles de soja, d'arachide, d'olive, de palme, de tournesol, de carthame, de coton, de coco [coprah], de palmiste, de babassu, de navett</v>
      </c>
    </row>
    <row r="241" spans="1:4" x14ac:dyDescent="0.25">
      <c r="A241" t="str">
        <f>T("   ZZZ_Monde")</f>
        <v xml:space="preserve">   ZZZ_Monde</v>
      </c>
      <c r="B241" t="str">
        <f>T("   ZZZ_Monde")</f>
        <v xml:space="preserve">   ZZZ_Monde</v>
      </c>
      <c r="C241">
        <v>1226276879</v>
      </c>
      <c r="D241">
        <v>2442136</v>
      </c>
    </row>
    <row r="242" spans="1:4" x14ac:dyDescent="0.25">
      <c r="A242" t="str">
        <f>T("   BE")</f>
        <v xml:space="preserve">   BE</v>
      </c>
      <c r="B242" t="str">
        <f>T("   Belgique")</f>
        <v xml:space="preserve">   Belgique</v>
      </c>
      <c r="C242">
        <v>11685767</v>
      </c>
      <c r="D242">
        <v>20231</v>
      </c>
    </row>
    <row r="243" spans="1:4" x14ac:dyDescent="0.25">
      <c r="A243" t="str">
        <f>T("   FR")</f>
        <v xml:space="preserve">   FR</v>
      </c>
      <c r="B243" t="str">
        <f>T("   France")</f>
        <v xml:space="preserve">   France</v>
      </c>
      <c r="C243">
        <v>17884771</v>
      </c>
      <c r="D243">
        <v>12704</v>
      </c>
    </row>
    <row r="244" spans="1:4" x14ac:dyDescent="0.25">
      <c r="A244" t="str">
        <f>T("   IN")</f>
        <v xml:space="preserve">   IN</v>
      </c>
      <c r="B244" t="str">
        <f>T("   Inde")</f>
        <v xml:space="preserve">   Inde</v>
      </c>
      <c r="C244">
        <v>10263820</v>
      </c>
      <c r="D244">
        <v>73313</v>
      </c>
    </row>
    <row r="245" spans="1:4" x14ac:dyDescent="0.25">
      <c r="A245" t="str">
        <f>T("   MY")</f>
        <v xml:space="preserve">   MY</v>
      </c>
      <c r="B245" t="str">
        <f>T("   Malaisie")</f>
        <v xml:space="preserve">   Malaisie</v>
      </c>
      <c r="C245">
        <v>965464164</v>
      </c>
      <c r="D245">
        <v>1962423</v>
      </c>
    </row>
    <row r="246" spans="1:4" x14ac:dyDescent="0.25">
      <c r="A246" t="str">
        <f>T("   NL")</f>
        <v xml:space="preserve">   NL</v>
      </c>
      <c r="B246" t="str">
        <f>T("   Pays-bas")</f>
        <v xml:space="preserve">   Pays-bas</v>
      </c>
      <c r="C246">
        <v>204222380</v>
      </c>
      <c r="D246">
        <v>359793</v>
      </c>
    </row>
    <row r="247" spans="1:4" x14ac:dyDescent="0.25">
      <c r="A247" t="str">
        <f>T("   US")</f>
        <v xml:space="preserve">   US</v>
      </c>
      <c r="B247" t="str">
        <f>T("   Etats-Unis")</f>
        <v xml:space="preserve">   Etats-Unis</v>
      </c>
      <c r="C247">
        <v>16755977</v>
      </c>
      <c r="D247">
        <v>13672</v>
      </c>
    </row>
    <row r="248" spans="1:4" x14ac:dyDescent="0.25">
      <c r="A248" t="str">
        <f>T("151620")</f>
        <v>151620</v>
      </c>
      <c r="B248" t="str">
        <f>T("Graisses et huiles végétales et leurs fractions, partiellement ou totalement hydrogénées, interestérifiées, réestérifiées ou élaïdinisées, même raffinées, mais non autrement préparées")</f>
        <v>Graisses et huiles végétales et leurs fractions, partiellement ou totalement hydrogénées, interestérifiées, réestérifiées ou élaïdinisées, même raffinées, mais non autrement préparées</v>
      </c>
    </row>
    <row r="249" spans="1:4" x14ac:dyDescent="0.25">
      <c r="A249" t="str">
        <f>T("   ZZZ_Monde")</f>
        <v xml:space="preserve">   ZZZ_Monde</v>
      </c>
      <c r="B249" t="str">
        <f>T("   ZZZ_Monde")</f>
        <v xml:space="preserve">   ZZZ_Monde</v>
      </c>
      <c r="C249">
        <v>194094197</v>
      </c>
      <c r="D249">
        <v>274005</v>
      </c>
    </row>
    <row r="250" spans="1:4" x14ac:dyDescent="0.25">
      <c r="A250" t="str">
        <f>T("   CN")</f>
        <v xml:space="preserve">   CN</v>
      </c>
      <c r="B250" t="str">
        <f>T("   Chine")</f>
        <v xml:space="preserve">   Chine</v>
      </c>
      <c r="C250">
        <v>500000</v>
      </c>
      <c r="D250">
        <v>10000</v>
      </c>
    </row>
    <row r="251" spans="1:4" x14ac:dyDescent="0.25">
      <c r="A251" t="str">
        <f>T("   FR")</f>
        <v xml:space="preserve">   FR</v>
      </c>
      <c r="B251" t="str">
        <f>T("   France")</f>
        <v xml:space="preserve">   France</v>
      </c>
      <c r="C251">
        <v>49197</v>
      </c>
      <c r="D251">
        <v>5</v>
      </c>
    </row>
    <row r="252" spans="1:4" x14ac:dyDescent="0.25">
      <c r="A252" t="str">
        <f>T("   NG")</f>
        <v xml:space="preserve">   NG</v>
      </c>
      <c r="B252" t="str">
        <f>T("   Nigéria")</f>
        <v xml:space="preserve">   Nigéria</v>
      </c>
      <c r="C252">
        <v>193545000</v>
      </c>
      <c r="D252">
        <v>264000</v>
      </c>
    </row>
    <row r="253" spans="1:4" x14ac:dyDescent="0.25">
      <c r="A253" t="str">
        <f>T("170111")</f>
        <v>170111</v>
      </c>
      <c r="B253" t="str">
        <f>T("Sucres de canne, bruts, sans addition d'aromatisants ou de colorants")</f>
        <v>Sucres de canne, bruts, sans addition d'aromatisants ou de colorants</v>
      </c>
    </row>
    <row r="254" spans="1:4" x14ac:dyDescent="0.25">
      <c r="A254" t="str">
        <f>T("   ZZZ_Monde")</f>
        <v xml:space="preserve">   ZZZ_Monde</v>
      </c>
      <c r="B254" t="str">
        <f>T("   ZZZ_Monde")</f>
        <v xml:space="preserve">   ZZZ_Monde</v>
      </c>
      <c r="C254">
        <v>3858995000</v>
      </c>
      <c r="D254">
        <v>10400000</v>
      </c>
    </row>
    <row r="255" spans="1:4" x14ac:dyDescent="0.25">
      <c r="A255" t="str">
        <f>T("   NE")</f>
        <v xml:space="preserve">   NE</v>
      </c>
      <c r="B255" t="str">
        <f>T("   Niger")</f>
        <v xml:space="preserve">   Niger</v>
      </c>
      <c r="C255">
        <v>168000000</v>
      </c>
      <c r="D255">
        <v>400000</v>
      </c>
    </row>
    <row r="256" spans="1:4" x14ac:dyDescent="0.25">
      <c r="A256" t="str">
        <f>T("   PT")</f>
        <v xml:space="preserve">   PT</v>
      </c>
      <c r="B256" t="str">
        <f>T("   Portugal")</f>
        <v xml:space="preserve">   Portugal</v>
      </c>
      <c r="C256">
        <v>3690995000</v>
      </c>
      <c r="D256">
        <v>10000000</v>
      </c>
    </row>
    <row r="257" spans="1:4" x14ac:dyDescent="0.25">
      <c r="A257" t="str">
        <f>T("170199")</f>
        <v>170199</v>
      </c>
      <c r="B257" t="str">
        <f>T("Sucres de canne ou de betterave et saccharose chimiquement pur, à l'état solide (à l'excl. des sucres bruts et des sucres de canne ou de betterave additionnés d'aromatisants ou de colorants)")</f>
        <v>Sucres de canne ou de betterave et saccharose chimiquement pur, à l'état solide (à l'excl. des sucres bruts et des sucres de canne ou de betterave additionnés d'aromatisants ou de colorants)</v>
      </c>
    </row>
    <row r="258" spans="1:4" x14ac:dyDescent="0.25">
      <c r="A258" t="str">
        <f>T("   ZZZ_Monde")</f>
        <v xml:space="preserve">   ZZZ_Monde</v>
      </c>
      <c r="B258" t="str">
        <f>T("   ZZZ_Monde")</f>
        <v xml:space="preserve">   ZZZ_Monde</v>
      </c>
      <c r="C258">
        <v>1768801500</v>
      </c>
      <c r="D258">
        <v>5000000</v>
      </c>
    </row>
    <row r="259" spans="1:4" x14ac:dyDescent="0.25">
      <c r="A259" t="str">
        <f>T("   FI")</f>
        <v xml:space="preserve">   FI</v>
      </c>
      <c r="B259" t="str">
        <f>T("   Finlande")</f>
        <v xml:space="preserve">   Finlande</v>
      </c>
      <c r="C259">
        <v>1768801500</v>
      </c>
      <c r="D259">
        <v>5000000</v>
      </c>
    </row>
    <row r="260" spans="1:4" x14ac:dyDescent="0.25">
      <c r="A260" t="str">
        <f>T("170490")</f>
        <v>170490</v>
      </c>
      <c r="B260" t="str">
        <f>T("Sucreries sans cacao, y.c. le chocolat blanc (à l'excl. des gommes à mâcher)")</f>
        <v>Sucreries sans cacao, y.c. le chocolat blanc (à l'excl. des gommes à mâcher)</v>
      </c>
    </row>
    <row r="261" spans="1:4" x14ac:dyDescent="0.25">
      <c r="A261" t="str">
        <f>T("   ZZZ_Monde")</f>
        <v xml:space="preserve">   ZZZ_Monde</v>
      </c>
      <c r="B261" t="str">
        <f>T("   ZZZ_Monde")</f>
        <v xml:space="preserve">   ZZZ_Monde</v>
      </c>
      <c r="C261">
        <v>240000</v>
      </c>
      <c r="D261">
        <v>420</v>
      </c>
    </row>
    <row r="262" spans="1:4" x14ac:dyDescent="0.25">
      <c r="A262" t="str">
        <f>T("   TG")</f>
        <v xml:space="preserve">   TG</v>
      </c>
      <c r="B262" t="str">
        <f>T("   Togo")</f>
        <v xml:space="preserve">   Togo</v>
      </c>
      <c r="C262">
        <v>240000</v>
      </c>
      <c r="D262">
        <v>420</v>
      </c>
    </row>
    <row r="263" spans="1:4" x14ac:dyDescent="0.25">
      <c r="A263" t="str">
        <f>T("180400")</f>
        <v>180400</v>
      </c>
      <c r="B263" t="str">
        <f>T("Beurre, graisse et huile de cacao")</f>
        <v>Beurre, graisse et huile de cacao</v>
      </c>
    </row>
    <row r="264" spans="1:4" x14ac:dyDescent="0.25">
      <c r="A264" t="str">
        <f>T("   ZZZ_Monde")</f>
        <v xml:space="preserve">   ZZZ_Monde</v>
      </c>
      <c r="B264" t="str">
        <f>T("   ZZZ_Monde")</f>
        <v xml:space="preserve">   ZZZ_Monde</v>
      </c>
      <c r="C264">
        <v>339560</v>
      </c>
      <c r="D264">
        <v>720</v>
      </c>
    </row>
    <row r="265" spans="1:4" x14ac:dyDescent="0.25">
      <c r="A265" t="str">
        <f>T("   CH")</f>
        <v xml:space="preserve">   CH</v>
      </c>
      <c r="B265" t="str">
        <f>T("   Suisse")</f>
        <v xml:space="preserve">   Suisse</v>
      </c>
      <c r="C265">
        <v>339560</v>
      </c>
      <c r="D265">
        <v>720</v>
      </c>
    </row>
    <row r="266" spans="1:4" x14ac:dyDescent="0.25">
      <c r="A266" t="str">
        <f>T("190230")</f>
        <v>190230</v>
      </c>
      <c r="B266" t="str">
        <f>T("Pâtes alimentaires, cuites ou autrement préparées (à l'excl. des pâtes alimentaires farcies)")</f>
        <v>Pâtes alimentaires, cuites ou autrement préparées (à l'excl. des pâtes alimentaires farcies)</v>
      </c>
    </row>
    <row r="267" spans="1:4" x14ac:dyDescent="0.25">
      <c r="A267" t="str">
        <f>T("   ZZZ_Monde")</f>
        <v xml:space="preserve">   ZZZ_Monde</v>
      </c>
      <c r="B267" t="str">
        <f>T("   ZZZ_Monde")</f>
        <v xml:space="preserve">   ZZZ_Monde</v>
      </c>
      <c r="C267">
        <v>3524418650</v>
      </c>
      <c r="D267">
        <v>8494330</v>
      </c>
    </row>
    <row r="268" spans="1:4" x14ac:dyDescent="0.25">
      <c r="A268" t="str">
        <f>T("   AO")</f>
        <v xml:space="preserve">   AO</v>
      </c>
      <c r="B268" t="str">
        <f>T("   Angola")</f>
        <v xml:space="preserve">   Angola</v>
      </c>
      <c r="C268">
        <v>23583000</v>
      </c>
      <c r="D268">
        <v>46700</v>
      </c>
    </row>
    <row r="269" spans="1:4" x14ac:dyDescent="0.25">
      <c r="A269" t="str">
        <f>T("   BF")</f>
        <v xml:space="preserve">   BF</v>
      </c>
      <c r="B269" t="str">
        <f>T("   Burkina Faso")</f>
        <v xml:space="preserve">   Burkina Faso</v>
      </c>
      <c r="C269">
        <v>46200000</v>
      </c>
      <c r="D269">
        <v>120000</v>
      </c>
    </row>
    <row r="270" spans="1:4" x14ac:dyDescent="0.25">
      <c r="A270" t="str">
        <f>T("   FR")</f>
        <v xml:space="preserve">   FR</v>
      </c>
      <c r="B270" t="str">
        <f>T("   France")</f>
        <v xml:space="preserve">   France</v>
      </c>
      <c r="C270">
        <v>338075000</v>
      </c>
      <c r="D270">
        <v>750470</v>
      </c>
    </row>
    <row r="271" spans="1:4" x14ac:dyDescent="0.25">
      <c r="A271" t="str">
        <f>T("   GQ")</f>
        <v xml:space="preserve">   GQ</v>
      </c>
      <c r="B271" t="str">
        <f>T("   Guinée Equatoriale")</f>
        <v xml:space="preserve">   Guinée Equatoriale</v>
      </c>
      <c r="C271">
        <v>8400000</v>
      </c>
      <c r="D271">
        <v>16000</v>
      </c>
    </row>
    <row r="272" spans="1:4" x14ac:dyDescent="0.25">
      <c r="A272" t="str">
        <f>T("   NE")</f>
        <v xml:space="preserve">   NE</v>
      </c>
      <c r="B272" t="str">
        <f>T("   Niger")</f>
        <v xml:space="preserve">   Niger</v>
      </c>
      <c r="C272">
        <v>590300750</v>
      </c>
      <c r="D272">
        <v>1895430</v>
      </c>
    </row>
    <row r="273" spans="1:4" x14ac:dyDescent="0.25">
      <c r="A273" t="str">
        <f>T("   NG")</f>
        <v xml:space="preserve">   NG</v>
      </c>
      <c r="B273" t="str">
        <f>T("   Nigéria")</f>
        <v xml:space="preserve">   Nigéria</v>
      </c>
      <c r="C273">
        <v>2041257700</v>
      </c>
      <c r="D273">
        <v>4556950</v>
      </c>
    </row>
    <row r="274" spans="1:4" x14ac:dyDescent="0.25">
      <c r="A274" t="str">
        <f>T("   TG")</f>
        <v xml:space="preserve">   TG</v>
      </c>
      <c r="B274" t="str">
        <f>T("   Togo")</f>
        <v xml:space="preserve">   Togo</v>
      </c>
      <c r="C274">
        <v>476602200</v>
      </c>
      <c r="D274">
        <v>1108780</v>
      </c>
    </row>
    <row r="275" spans="1:4" x14ac:dyDescent="0.25">
      <c r="A275" t="str">
        <f>T("190410")</f>
        <v>190410</v>
      </c>
      <c r="B275" t="str">
        <f>T("PRODUITS À BASE DE CÉRÉALES OBTENUS PAR SOUFFLAGE OU GRILLAGE [CORN FLAKES, P.EX.]")</f>
        <v>PRODUITS À BASE DE CÉRÉALES OBTENUS PAR SOUFFLAGE OU GRILLAGE [CORN FLAKES, P.EX.]</v>
      </c>
    </row>
    <row r="276" spans="1:4" x14ac:dyDescent="0.25">
      <c r="A276" t="str">
        <f>T("   ZZZ_Monde")</f>
        <v xml:space="preserve">   ZZZ_Monde</v>
      </c>
      <c r="B276" t="str">
        <f>T("   ZZZ_Monde")</f>
        <v xml:space="preserve">   ZZZ_Monde</v>
      </c>
      <c r="C276">
        <v>715000</v>
      </c>
      <c r="D276">
        <v>700</v>
      </c>
    </row>
    <row r="277" spans="1:4" x14ac:dyDescent="0.25">
      <c r="A277" t="str">
        <f>T("   TG")</f>
        <v xml:space="preserve">   TG</v>
      </c>
      <c r="B277" t="str">
        <f>T("   Togo")</f>
        <v xml:space="preserve">   Togo</v>
      </c>
      <c r="C277">
        <v>715000</v>
      </c>
      <c r="D277">
        <v>700</v>
      </c>
    </row>
    <row r="278" spans="1:4" x14ac:dyDescent="0.25">
      <c r="A278" t="str">
        <f>T("190590")</f>
        <v>190590</v>
      </c>
      <c r="B278" t="str">
        <f>T("Produits de la boulangerie, pâtisserie ou biscuiterie, même additionnés de cacao, hosties, cachets vides des types utilisés pour médicaments, pains à cacheter, pâtes séchées de farine, d'amidon ou de fécule en feuilles et produits simil. (sauf pain croust")</f>
        <v>Produits de la boulangerie, pâtisserie ou biscuiterie, même additionnés de cacao, hosties, cachets vides des types utilisés pour médicaments, pains à cacheter, pâtes séchées de farine, d'amidon ou de fécule en feuilles et produits simil. (sauf pain croust</v>
      </c>
    </row>
    <row r="279" spans="1:4" x14ac:dyDescent="0.25">
      <c r="A279" t="str">
        <f>T("   ZZZ_Monde")</f>
        <v xml:space="preserve">   ZZZ_Monde</v>
      </c>
      <c r="B279" t="str">
        <f>T("   ZZZ_Monde")</f>
        <v xml:space="preserve">   ZZZ_Monde</v>
      </c>
      <c r="C279">
        <v>119295000</v>
      </c>
      <c r="D279">
        <v>968500</v>
      </c>
    </row>
    <row r="280" spans="1:4" x14ac:dyDescent="0.25">
      <c r="A280" t="str">
        <f>T("   BF")</f>
        <v xml:space="preserve">   BF</v>
      </c>
      <c r="B280" t="str">
        <f>T("   Burkina Faso")</f>
        <v xml:space="preserve">   Burkina Faso</v>
      </c>
      <c r="C280">
        <v>20000000</v>
      </c>
      <c r="D280">
        <v>40000</v>
      </c>
    </row>
    <row r="281" spans="1:4" x14ac:dyDescent="0.25">
      <c r="A281" t="str">
        <f>T("   NE")</f>
        <v xml:space="preserve">   NE</v>
      </c>
      <c r="B281" t="str">
        <f>T("   Niger")</f>
        <v xml:space="preserve">   Niger</v>
      </c>
      <c r="C281">
        <v>92000000</v>
      </c>
      <c r="D281">
        <v>920000</v>
      </c>
    </row>
    <row r="282" spans="1:4" x14ac:dyDescent="0.25">
      <c r="A282" t="str">
        <f>T("   TG")</f>
        <v xml:space="preserve">   TG</v>
      </c>
      <c r="B282" t="str">
        <f>T("   Togo")</f>
        <v xml:space="preserve">   Togo</v>
      </c>
      <c r="C282">
        <v>7295000</v>
      </c>
      <c r="D282">
        <v>8500</v>
      </c>
    </row>
    <row r="283" spans="1:4" x14ac:dyDescent="0.25">
      <c r="A283" t="str">
        <f>T("200600")</f>
        <v>200600</v>
      </c>
      <c r="B283" t="str">
        <f>T("Légumes, fruits, écorces de fruits et autres parties de plantes, confits au sucre [égouttés, glacés ou cristallisés]")</f>
        <v>Légumes, fruits, écorces de fruits et autres parties de plantes, confits au sucre [égouttés, glacés ou cristallisés]</v>
      </c>
    </row>
    <row r="284" spans="1:4" x14ac:dyDescent="0.25">
      <c r="A284" t="str">
        <f>T("   ZZZ_Monde")</f>
        <v xml:space="preserve">   ZZZ_Monde</v>
      </c>
      <c r="B284" t="str">
        <f>T("   ZZZ_Monde")</f>
        <v xml:space="preserve">   ZZZ_Monde</v>
      </c>
      <c r="C284">
        <v>275000</v>
      </c>
      <c r="D284">
        <v>4330</v>
      </c>
    </row>
    <row r="285" spans="1:4" x14ac:dyDescent="0.25">
      <c r="A285" t="str">
        <f>T("   GA")</f>
        <v xml:space="preserve">   GA</v>
      </c>
      <c r="B285" t="str">
        <f>T("   Gabon")</f>
        <v xml:space="preserve">   Gabon</v>
      </c>
      <c r="C285">
        <v>275000</v>
      </c>
      <c r="D285">
        <v>4330</v>
      </c>
    </row>
    <row r="286" spans="1:4" x14ac:dyDescent="0.25">
      <c r="A286" t="str">
        <f>T("200941")</f>
        <v>200941</v>
      </c>
      <c r="B286" t="str">
        <f>T("JUS D'ANANAS, NON-FERMENTÉS, SANS ADDITION D'ALCOOL, AVEC OU SANS ADDITION DE SUCRE OU D'AUTRES ÉDULCORANTS, D'UNE VALEUR BRIX &lt;= 20 À 20°C")</f>
        <v>JUS D'ANANAS, NON-FERMENTÉS, SANS ADDITION D'ALCOOL, AVEC OU SANS ADDITION DE SUCRE OU D'AUTRES ÉDULCORANTS, D'UNE VALEUR BRIX &lt;= 20 À 20°C</v>
      </c>
    </row>
    <row r="287" spans="1:4" x14ac:dyDescent="0.25">
      <c r="A287" t="str">
        <f>T("   ZZZ_Monde")</f>
        <v xml:space="preserve">   ZZZ_Monde</v>
      </c>
      <c r="B287" t="str">
        <f>T("   ZZZ_Monde")</f>
        <v xml:space="preserve">   ZZZ_Monde</v>
      </c>
      <c r="C287">
        <v>51939700</v>
      </c>
      <c r="D287">
        <v>210380</v>
      </c>
    </row>
    <row r="288" spans="1:4" x14ac:dyDescent="0.25">
      <c r="A288" t="str">
        <f>T("   BF")</f>
        <v xml:space="preserve">   BF</v>
      </c>
      <c r="B288" t="str">
        <f>T("   Burkina Faso")</f>
        <v xml:space="preserve">   Burkina Faso</v>
      </c>
      <c r="C288">
        <v>15655900</v>
      </c>
      <c r="D288">
        <v>58500</v>
      </c>
    </row>
    <row r="289" spans="1:4" x14ac:dyDescent="0.25">
      <c r="A289" t="str">
        <f>T("   ML")</f>
        <v xml:space="preserve">   ML</v>
      </c>
      <c r="B289" t="str">
        <f>T("   Mali")</f>
        <v xml:space="preserve">   Mali</v>
      </c>
      <c r="C289">
        <v>5925000</v>
      </c>
      <c r="D289">
        <v>27000</v>
      </c>
    </row>
    <row r="290" spans="1:4" x14ac:dyDescent="0.25">
      <c r="A290" t="str">
        <f>T("   NE")</f>
        <v xml:space="preserve">   NE</v>
      </c>
      <c r="B290" t="str">
        <f>T("   Niger")</f>
        <v xml:space="preserve">   Niger</v>
      </c>
      <c r="C290">
        <v>13925000</v>
      </c>
      <c r="D290">
        <v>56500</v>
      </c>
    </row>
    <row r="291" spans="1:4" x14ac:dyDescent="0.25">
      <c r="A291" t="str">
        <f>T("   NG")</f>
        <v xml:space="preserve">   NG</v>
      </c>
      <c r="B291" t="str">
        <f>T("   Nigéria")</f>
        <v xml:space="preserve">   Nigéria</v>
      </c>
      <c r="C291">
        <v>1380000</v>
      </c>
      <c r="D291">
        <v>6500</v>
      </c>
    </row>
    <row r="292" spans="1:4" x14ac:dyDescent="0.25">
      <c r="A292" t="str">
        <f>T("   SN")</f>
        <v xml:space="preserve">   SN</v>
      </c>
      <c r="B292" t="str">
        <f>T("   Sénégal")</f>
        <v xml:space="preserve">   Sénégal</v>
      </c>
      <c r="C292">
        <v>15053800</v>
      </c>
      <c r="D292">
        <v>61880</v>
      </c>
    </row>
    <row r="293" spans="1:4" x14ac:dyDescent="0.25">
      <c r="A293" t="str">
        <f>T("200949")</f>
        <v>200949</v>
      </c>
      <c r="B293" t="str">
        <f>T("JUS D'ANANAS, NON-FERMENTÉS, SANS ADDITION D'ALCOOL, AVEC OU SANS ADDITION DE SUCRE OU D'AUTRES ÉDULCORANTS, D'UNE VALEUR BRIX &gt; 20 À 20°C")</f>
        <v>JUS D'ANANAS, NON-FERMENTÉS, SANS ADDITION D'ALCOOL, AVEC OU SANS ADDITION DE SUCRE OU D'AUTRES ÉDULCORANTS, D'UNE VALEUR BRIX &gt; 20 À 20°C</v>
      </c>
    </row>
    <row r="294" spans="1:4" x14ac:dyDescent="0.25">
      <c r="A294" t="str">
        <f>T("   ZZZ_Monde")</f>
        <v xml:space="preserve">   ZZZ_Monde</v>
      </c>
      <c r="B294" t="str">
        <f>T("   ZZZ_Monde")</f>
        <v xml:space="preserve">   ZZZ_Monde</v>
      </c>
      <c r="C294">
        <v>32262500</v>
      </c>
      <c r="D294">
        <v>235216</v>
      </c>
    </row>
    <row r="295" spans="1:4" x14ac:dyDescent="0.25">
      <c r="A295" t="str">
        <f>T("   BF")</f>
        <v xml:space="preserve">   BF</v>
      </c>
      <c r="B295" t="str">
        <f>T("   Burkina Faso")</f>
        <v xml:space="preserve">   Burkina Faso</v>
      </c>
      <c r="C295">
        <v>15955000</v>
      </c>
      <c r="D295">
        <v>171200</v>
      </c>
    </row>
    <row r="296" spans="1:4" x14ac:dyDescent="0.25">
      <c r="A296" t="str">
        <f>T("   ML")</f>
        <v xml:space="preserve">   ML</v>
      </c>
      <c r="B296" t="str">
        <f>T("   Mali")</f>
        <v xml:space="preserve">   Mali</v>
      </c>
      <c r="C296">
        <v>12407500</v>
      </c>
      <c r="D296">
        <v>55016</v>
      </c>
    </row>
    <row r="297" spans="1:4" x14ac:dyDescent="0.25">
      <c r="A297" t="str">
        <f>T("   NE")</f>
        <v xml:space="preserve">   NE</v>
      </c>
      <c r="B297" t="str">
        <f>T("   Niger")</f>
        <v xml:space="preserve">   Niger</v>
      </c>
      <c r="C297">
        <v>3900000</v>
      </c>
      <c r="D297">
        <v>9000</v>
      </c>
    </row>
    <row r="298" spans="1:4" x14ac:dyDescent="0.25">
      <c r="A298" t="str">
        <f>T("200980")</f>
        <v>200980</v>
      </c>
      <c r="B298" t="str">
        <f>T("JUS DE FRUITS OU DE LÉGUMES, NON-FERMENTÉS, SANS ADDITION D'ALCOOL, AVEC OU SANS ADDITION DE SUCRE OU D'AUTRES ÉDULCORANTS (À L'EXCL. DES MÉLANGES AINSI QUE DES JUS D'AGRUMES, D'ANANAS, DE TOMATE, DE RAISIN - Y.C. LES MOÛTS - ET DE POMME)")</f>
        <v>JUS DE FRUITS OU DE LÉGUMES, NON-FERMENTÉS, SANS ADDITION D'ALCOOL, AVEC OU SANS ADDITION DE SUCRE OU D'AUTRES ÉDULCORANTS (À L'EXCL. DES MÉLANGES AINSI QUE DES JUS D'AGRUMES, D'ANANAS, DE TOMATE, DE RAISIN - Y.C. LES MOÛTS - ET DE POMME)</v>
      </c>
    </row>
    <row r="299" spans="1:4" x14ac:dyDescent="0.25">
      <c r="A299" t="str">
        <f>T("   ZZZ_Monde")</f>
        <v xml:space="preserve">   ZZZ_Monde</v>
      </c>
      <c r="B299" t="str">
        <f>T("   ZZZ_Monde")</f>
        <v xml:space="preserve">   ZZZ_Monde</v>
      </c>
      <c r="C299">
        <v>20567500</v>
      </c>
      <c r="D299">
        <v>83686</v>
      </c>
    </row>
    <row r="300" spans="1:4" x14ac:dyDescent="0.25">
      <c r="A300" t="str">
        <f>T("   LY")</f>
        <v xml:space="preserve">   LY</v>
      </c>
      <c r="B300" t="str">
        <f>T("   Libyenne, Jamahiriya Arabe")</f>
        <v xml:space="preserve">   Libyenne, Jamahiriya Arabe</v>
      </c>
      <c r="C300">
        <v>13967500</v>
      </c>
      <c r="D300">
        <v>50686</v>
      </c>
    </row>
    <row r="301" spans="1:4" x14ac:dyDescent="0.25">
      <c r="A301" t="str">
        <f>T("   MA")</f>
        <v xml:space="preserve">   MA</v>
      </c>
      <c r="B301" t="str">
        <f>T("   Maroc")</f>
        <v xml:space="preserve">   Maroc</v>
      </c>
      <c r="C301">
        <v>6600000</v>
      </c>
      <c r="D301">
        <v>33000</v>
      </c>
    </row>
    <row r="302" spans="1:4" x14ac:dyDescent="0.25">
      <c r="A302" t="str">
        <f>T("200990")</f>
        <v>200990</v>
      </c>
      <c r="B302" t="str">
        <f>T("MÉLANGES DE JUS DE FRUITS - Y.C. LES MOÛTS DE RAISIN - ET DE JUS DE LÉGUMES, NON-FERMENTÉS, SANS ADDITION D'ALCOOL, AVEC OU SANS ADDITION DE SUCRE OU D'AUTRES ÉDULCORANTS")</f>
        <v>MÉLANGES DE JUS DE FRUITS - Y.C. LES MOÛTS DE RAISIN - ET DE JUS DE LÉGUMES, NON-FERMENTÉS, SANS ADDITION D'ALCOOL, AVEC OU SANS ADDITION DE SUCRE OU D'AUTRES ÉDULCORANTS</v>
      </c>
    </row>
    <row r="303" spans="1:4" x14ac:dyDescent="0.25">
      <c r="A303" t="str">
        <f>T("   ZZZ_Monde")</f>
        <v xml:space="preserve">   ZZZ_Monde</v>
      </c>
      <c r="B303" t="str">
        <f>T("   ZZZ_Monde")</f>
        <v xml:space="preserve">   ZZZ_Monde</v>
      </c>
      <c r="C303">
        <v>5511000</v>
      </c>
      <c r="D303">
        <v>18900</v>
      </c>
    </row>
    <row r="304" spans="1:4" x14ac:dyDescent="0.25">
      <c r="A304" t="str">
        <f>T("   GQ")</f>
        <v xml:space="preserve">   GQ</v>
      </c>
      <c r="B304" t="str">
        <f>T("   Guinée Equatoriale")</f>
        <v xml:space="preserve">   Guinée Equatoriale</v>
      </c>
      <c r="C304">
        <v>5511000</v>
      </c>
      <c r="D304">
        <v>18900</v>
      </c>
    </row>
    <row r="305" spans="1:4" x14ac:dyDescent="0.25">
      <c r="A305" t="str">
        <f>T("210230")</f>
        <v>210230</v>
      </c>
      <c r="B305" t="str">
        <f>T("Poudres à lever préparées")</f>
        <v>Poudres à lever préparées</v>
      </c>
    </row>
    <row r="306" spans="1:4" x14ac:dyDescent="0.25">
      <c r="A306" t="str">
        <f>T("   ZZZ_Monde")</f>
        <v xml:space="preserve">   ZZZ_Monde</v>
      </c>
      <c r="B306" t="str">
        <f>T("   ZZZ_Monde")</f>
        <v xml:space="preserve">   ZZZ_Monde</v>
      </c>
      <c r="C306">
        <v>80000</v>
      </c>
      <c r="D306">
        <v>15</v>
      </c>
    </row>
    <row r="307" spans="1:4" x14ac:dyDescent="0.25">
      <c r="A307" t="str">
        <f>T("   TG")</f>
        <v xml:space="preserve">   TG</v>
      </c>
      <c r="B307" t="str">
        <f>T("   Togo")</f>
        <v xml:space="preserve">   Togo</v>
      </c>
      <c r="C307">
        <v>80000</v>
      </c>
      <c r="D307">
        <v>15</v>
      </c>
    </row>
    <row r="308" spans="1:4" x14ac:dyDescent="0.25">
      <c r="A308" t="str">
        <f>T("210690")</f>
        <v>210690</v>
      </c>
      <c r="B308" t="str">
        <f>T("Préparations alimentaires, n.d.a.")</f>
        <v>Préparations alimentaires, n.d.a.</v>
      </c>
    </row>
    <row r="309" spans="1:4" x14ac:dyDescent="0.25">
      <c r="A309" t="str">
        <f>T("   ZZZ_Monde")</f>
        <v xml:space="preserve">   ZZZ_Monde</v>
      </c>
      <c r="B309" t="str">
        <f>T("   ZZZ_Monde")</f>
        <v xml:space="preserve">   ZZZ_Monde</v>
      </c>
      <c r="C309">
        <v>78024625</v>
      </c>
      <c r="D309">
        <v>12052</v>
      </c>
    </row>
    <row r="310" spans="1:4" x14ac:dyDescent="0.25">
      <c r="A310" t="str">
        <f>T("   CI")</f>
        <v xml:space="preserve">   CI</v>
      </c>
      <c r="B310" t="str">
        <f>T("   Côte d'Ivoire")</f>
        <v xml:space="preserve">   Côte d'Ivoire</v>
      </c>
      <c r="C310">
        <v>72902682</v>
      </c>
      <c r="D310">
        <v>2889</v>
      </c>
    </row>
    <row r="311" spans="1:4" x14ac:dyDescent="0.25">
      <c r="A311" t="str">
        <f>T("   LY")</f>
        <v xml:space="preserve">   LY</v>
      </c>
      <c r="B311" t="str">
        <f>T("   Libyenne, Jamahiriya Arabe")</f>
        <v xml:space="preserve">   Libyenne, Jamahiriya Arabe</v>
      </c>
      <c r="C311">
        <v>600000</v>
      </c>
      <c r="D311">
        <v>7140</v>
      </c>
    </row>
    <row r="312" spans="1:4" x14ac:dyDescent="0.25">
      <c r="A312" t="str">
        <f>T("   ML")</f>
        <v xml:space="preserve">   ML</v>
      </c>
      <c r="B312" t="str">
        <f>T("   Mali")</f>
        <v xml:space="preserve">   Mali</v>
      </c>
      <c r="C312">
        <v>4521943</v>
      </c>
      <c r="D312">
        <v>2023</v>
      </c>
    </row>
    <row r="313" spans="1:4" x14ac:dyDescent="0.25">
      <c r="A313" t="str">
        <f>T("220110")</f>
        <v>220110</v>
      </c>
      <c r="B313" t="str">
        <f>T("Eaux minérales et eaux gazéifiées, non additionnées de sucre ou d'autres édulcorants ni aromatisées")</f>
        <v>Eaux minérales et eaux gazéifiées, non additionnées de sucre ou d'autres édulcorants ni aromatisées</v>
      </c>
    </row>
    <row r="314" spans="1:4" x14ac:dyDescent="0.25">
      <c r="A314" t="str">
        <f>T("   ZZZ_Monde")</f>
        <v xml:space="preserve">   ZZZ_Monde</v>
      </c>
      <c r="B314" t="str">
        <f>T("   ZZZ_Monde")</f>
        <v xml:space="preserve">   ZZZ_Monde</v>
      </c>
      <c r="C314">
        <v>52150728</v>
      </c>
      <c r="D314">
        <v>260120</v>
      </c>
    </row>
    <row r="315" spans="1:4" x14ac:dyDescent="0.25">
      <c r="A315" t="str">
        <f>T("   GH")</f>
        <v xml:space="preserve">   GH</v>
      </c>
      <c r="B315" t="str">
        <f>T("   Ghana")</f>
        <v xml:space="preserve">   Ghana</v>
      </c>
      <c r="C315">
        <v>20459903</v>
      </c>
      <c r="D315">
        <v>89862</v>
      </c>
    </row>
    <row r="316" spans="1:4" x14ac:dyDescent="0.25">
      <c r="A316" t="str">
        <f>T("   TG")</f>
        <v xml:space="preserve">   TG</v>
      </c>
      <c r="B316" t="str">
        <f>T("   Togo")</f>
        <v xml:space="preserve">   Togo</v>
      </c>
      <c r="C316">
        <v>31690825</v>
      </c>
      <c r="D316">
        <v>170258</v>
      </c>
    </row>
    <row r="317" spans="1:4" x14ac:dyDescent="0.25">
      <c r="A317" t="str">
        <f>T("220210")</f>
        <v>220210</v>
      </c>
      <c r="B317" t="str">
        <f>T("Eaux, y.c. les eaux minérales et les eaux gazéifiées, additionnées de sucre ou d'autres édulcorants ou aromatisées, directement consommables en l'état en tant que boissons")</f>
        <v>Eaux, y.c. les eaux minérales et les eaux gazéifiées, additionnées de sucre ou d'autres édulcorants ou aromatisées, directement consommables en l'état en tant que boissons</v>
      </c>
    </row>
    <row r="318" spans="1:4" x14ac:dyDescent="0.25">
      <c r="A318" t="str">
        <f>T("   ZZZ_Monde")</f>
        <v xml:space="preserve">   ZZZ_Monde</v>
      </c>
      <c r="B318" t="str">
        <f>T("   ZZZ_Monde")</f>
        <v xml:space="preserve">   ZZZ_Monde</v>
      </c>
      <c r="C318">
        <v>35407772</v>
      </c>
      <c r="D318">
        <v>91981</v>
      </c>
    </row>
    <row r="319" spans="1:4" x14ac:dyDescent="0.25">
      <c r="A319" t="str">
        <f>T("   GH")</f>
        <v xml:space="preserve">   GH</v>
      </c>
      <c r="B319" t="str">
        <f>T("   Ghana")</f>
        <v xml:space="preserve">   Ghana</v>
      </c>
      <c r="C319">
        <v>13308917</v>
      </c>
      <c r="D319">
        <v>33868</v>
      </c>
    </row>
    <row r="320" spans="1:4" x14ac:dyDescent="0.25">
      <c r="A320" t="str">
        <f>T("   TG")</f>
        <v xml:space="preserve">   TG</v>
      </c>
      <c r="B320" t="str">
        <f>T("   Togo")</f>
        <v xml:space="preserve">   Togo</v>
      </c>
      <c r="C320">
        <v>22098855</v>
      </c>
      <c r="D320">
        <v>58113</v>
      </c>
    </row>
    <row r="321" spans="1:4" x14ac:dyDescent="0.25">
      <c r="A321" t="str">
        <f>T("220290")</f>
        <v>220290</v>
      </c>
      <c r="B321" t="str">
        <f>T("BOISSONS NON-ALCOOLIQUES (À L'EXCL. DES EAUX, DES JUS DE FRUITS OU DE LÉGUMES AINSI QUE DU LAIT)")</f>
        <v>BOISSONS NON-ALCOOLIQUES (À L'EXCL. DES EAUX, DES JUS DE FRUITS OU DE LÉGUMES AINSI QUE DU LAIT)</v>
      </c>
    </row>
    <row r="322" spans="1:4" x14ac:dyDescent="0.25">
      <c r="A322" t="str">
        <f>T("   ZZZ_Monde")</f>
        <v xml:space="preserve">   ZZZ_Monde</v>
      </c>
      <c r="B322" t="str">
        <f>T("   ZZZ_Monde")</f>
        <v xml:space="preserve">   ZZZ_Monde</v>
      </c>
      <c r="C322">
        <v>9450000</v>
      </c>
      <c r="D322">
        <v>20000</v>
      </c>
    </row>
    <row r="323" spans="1:4" x14ac:dyDescent="0.25">
      <c r="A323" t="str">
        <f>T("   BF")</f>
        <v xml:space="preserve">   BF</v>
      </c>
      <c r="B323" t="str">
        <f>T("   Burkina Faso")</f>
        <v xml:space="preserve">   Burkina Faso</v>
      </c>
      <c r="C323">
        <v>9450000</v>
      </c>
      <c r="D323">
        <v>20000</v>
      </c>
    </row>
    <row r="324" spans="1:4" x14ac:dyDescent="0.25">
      <c r="A324" t="str">
        <f>T("220600")</f>
        <v>220600</v>
      </c>
      <c r="B324" t="str">
        <f>T("CIDRE, POIRÉ, HYDROMEL ET AUTRES BOISSONS FERMENTÉES; MÉLANGES DE BOISSONS FERMENTÉES ET MÉLANGES DE BOISSONS FERMENTÉES ET DE BOISSONS NON-ALCOOLIQUES, N.D.A. (À L'EXCL. DE LA BIÈRE, DES VINS DE RAISINS FRAIS, DES MOÛTS DE RAISINS AINSI QUE DES VERMOUTHS")</f>
        <v>CIDRE, POIRÉ, HYDROMEL ET AUTRES BOISSONS FERMENTÉES; MÉLANGES DE BOISSONS FERMENTÉES ET MÉLANGES DE BOISSONS FERMENTÉES ET DE BOISSONS NON-ALCOOLIQUES, N.D.A. (À L'EXCL. DE LA BIÈRE, DES VINS DE RAISINS FRAIS, DES MOÛTS DE RAISINS AINSI QUE DES VERMOUTHS</v>
      </c>
    </row>
    <row r="325" spans="1:4" x14ac:dyDescent="0.25">
      <c r="A325" t="str">
        <f>T("   ZZZ_Monde")</f>
        <v xml:space="preserve">   ZZZ_Monde</v>
      </c>
      <c r="B325" t="str">
        <f>T("   ZZZ_Monde")</f>
        <v xml:space="preserve">   ZZZ_Monde</v>
      </c>
      <c r="C325">
        <v>560000</v>
      </c>
      <c r="D325">
        <v>29150</v>
      </c>
    </row>
    <row r="326" spans="1:4" x14ac:dyDescent="0.25">
      <c r="A326" t="str">
        <f>T("   GA")</f>
        <v xml:space="preserve">   GA</v>
      </c>
      <c r="B326" t="str">
        <f>T("   Gabon")</f>
        <v xml:space="preserve">   Gabon</v>
      </c>
      <c r="C326">
        <v>560000</v>
      </c>
      <c r="D326">
        <v>29150</v>
      </c>
    </row>
    <row r="327" spans="1:4" x14ac:dyDescent="0.25">
      <c r="A327" t="str">
        <f>T("220890")</f>
        <v>220890</v>
      </c>
      <c r="B327" t="str">
        <f>T("ALCOOL ÉTHYLIQUE D'UN TITRE ALCOOMÉTRIQUE VOLUMIQUE &lt; 80% VOL, NON-DÉNATURÉ; EAUX-DE-VIE ET AUTRES BOISSONS SPIRITUEUSES (À L'EXCL. DES EAUX-DE-VIE DE VIN OU DE MARC DE RAISINS, DES WHISKIES, DU RHUM ET AUTRES EAUX-DE-VIE PROVENANT DE LA DISTILLATION APRÈ")</f>
        <v>ALCOOL ÉTHYLIQUE D'UN TITRE ALCOOMÉTRIQUE VOLUMIQUE &lt; 80% VOL, NON-DÉNATURÉ; EAUX-DE-VIE ET AUTRES BOISSONS SPIRITUEUSES (À L'EXCL. DES EAUX-DE-VIE DE VIN OU DE MARC DE RAISINS, DES WHISKIES, DU RHUM ET AUTRES EAUX-DE-VIE PROVENANT DE LA DISTILLATION APRÈ</v>
      </c>
    </row>
    <row r="328" spans="1:4" x14ac:dyDescent="0.25">
      <c r="A328" t="str">
        <f>T("   ZZZ_Monde")</f>
        <v xml:space="preserve">   ZZZ_Monde</v>
      </c>
      <c r="B328" t="str">
        <f>T("   ZZZ_Monde")</f>
        <v xml:space="preserve">   ZZZ_Monde</v>
      </c>
      <c r="C328">
        <v>2400000</v>
      </c>
      <c r="D328">
        <v>10000</v>
      </c>
    </row>
    <row r="329" spans="1:4" x14ac:dyDescent="0.25">
      <c r="A329" t="str">
        <f>T("   CG")</f>
        <v xml:space="preserve">   CG</v>
      </c>
      <c r="B329" t="str">
        <f>T("   Congo (Brazzaville)")</f>
        <v xml:space="preserve">   Congo (Brazzaville)</v>
      </c>
      <c r="C329">
        <v>2400000</v>
      </c>
      <c r="D329">
        <v>10000</v>
      </c>
    </row>
    <row r="330" spans="1:4" x14ac:dyDescent="0.25">
      <c r="A330" t="str">
        <f>T("230230")</f>
        <v>230230</v>
      </c>
      <c r="B330" t="str">
        <f>T("Sons, remoulages et autres résidus, même agglomérés sous forme de pellets, du criblage, de la mouture ou d'autres traitements du froment")</f>
        <v>Sons, remoulages et autres résidus, même agglomérés sous forme de pellets, du criblage, de la mouture ou d'autres traitements du froment</v>
      </c>
    </row>
    <row r="331" spans="1:4" x14ac:dyDescent="0.25">
      <c r="A331" t="str">
        <f>T("   ZZZ_Monde")</f>
        <v xml:space="preserve">   ZZZ_Monde</v>
      </c>
      <c r="B331" t="str">
        <f>T("   ZZZ_Monde")</f>
        <v xml:space="preserve">   ZZZ_Monde</v>
      </c>
      <c r="C331">
        <v>417360000</v>
      </c>
      <c r="D331">
        <v>5657000</v>
      </c>
    </row>
    <row r="332" spans="1:4" x14ac:dyDescent="0.25">
      <c r="A332" t="str">
        <f>T("   NE")</f>
        <v xml:space="preserve">   NE</v>
      </c>
      <c r="B332" t="str">
        <f>T("   Niger")</f>
        <v xml:space="preserve">   Niger</v>
      </c>
      <c r="C332">
        <v>417360000</v>
      </c>
      <c r="D332">
        <v>5657000</v>
      </c>
    </row>
    <row r="333" spans="1:4" x14ac:dyDescent="0.25">
      <c r="A333" t="str">
        <f>T("230240")</f>
        <v>230240</v>
      </c>
      <c r="B333" t="str">
        <f>T("SONS, REMOULAGES ET AUTRES RÉSIDUS, MÊME AGGLOMÉRÉS SOUS FORME DE PELLETS, DU CRIBLAGE, DE LA MOUTURE OU D'AUTRES TRAITEMENTS DES CÉRÉALES (À L'EXCL. DU MAÏS OU DU FROMENT)")</f>
        <v>SONS, REMOULAGES ET AUTRES RÉSIDUS, MÊME AGGLOMÉRÉS SOUS FORME DE PELLETS, DU CRIBLAGE, DE LA MOUTURE OU D'AUTRES TRAITEMENTS DES CÉRÉALES (À L'EXCL. DU MAÏS OU DU FROMENT)</v>
      </c>
    </row>
    <row r="334" spans="1:4" x14ac:dyDescent="0.25">
      <c r="A334" t="str">
        <f>T("   ZZZ_Monde")</f>
        <v xml:space="preserve">   ZZZ_Monde</v>
      </c>
      <c r="B334" t="str">
        <f>T("   ZZZ_Monde")</f>
        <v xml:space="preserve">   ZZZ_Monde</v>
      </c>
      <c r="C334">
        <v>640000</v>
      </c>
      <c r="D334">
        <v>25500</v>
      </c>
    </row>
    <row r="335" spans="1:4" x14ac:dyDescent="0.25">
      <c r="A335" t="str">
        <f>T("   GA")</f>
        <v xml:space="preserve">   GA</v>
      </c>
      <c r="B335" t="str">
        <f>T("   Gabon")</f>
        <v xml:space="preserve">   Gabon</v>
      </c>
      <c r="C335">
        <v>640000</v>
      </c>
      <c r="D335">
        <v>25500</v>
      </c>
    </row>
    <row r="336" spans="1:4" x14ac:dyDescent="0.25">
      <c r="A336" t="str">
        <f>T("230400")</f>
        <v>230400</v>
      </c>
      <c r="B336" t="str">
        <f>T("Tourteaux et autres résidus solides, même broyés ou agglomérés sous forme de pellets, de l'extraction de l'huile de soja")</f>
        <v>Tourteaux et autres résidus solides, même broyés ou agglomérés sous forme de pellets, de l'extraction de l'huile de soja</v>
      </c>
    </row>
    <row r="337" spans="1:4" x14ac:dyDescent="0.25">
      <c r="A337" t="str">
        <f>T("   ZZZ_Monde")</f>
        <v xml:space="preserve">   ZZZ_Monde</v>
      </c>
      <c r="B337" t="str">
        <f>T("   ZZZ_Monde")</f>
        <v xml:space="preserve">   ZZZ_Monde</v>
      </c>
      <c r="C337">
        <v>281870506</v>
      </c>
      <c r="D337">
        <v>798378</v>
      </c>
    </row>
    <row r="338" spans="1:4" x14ac:dyDescent="0.25">
      <c r="A338" t="str">
        <f>T("   CI")</f>
        <v xml:space="preserve">   CI</v>
      </c>
      <c r="B338" t="str">
        <f>T("   Côte d'Ivoire")</f>
        <v xml:space="preserve">   Côte d'Ivoire</v>
      </c>
      <c r="C338">
        <v>66374281</v>
      </c>
      <c r="D338">
        <v>179185</v>
      </c>
    </row>
    <row r="339" spans="1:4" x14ac:dyDescent="0.25">
      <c r="A339" t="str">
        <f>T("   GA")</f>
        <v xml:space="preserve">   GA</v>
      </c>
      <c r="B339" t="str">
        <f>T("   Gabon")</f>
        <v xml:space="preserve">   Gabon</v>
      </c>
      <c r="C339">
        <v>97568310</v>
      </c>
      <c r="D339">
        <v>237986</v>
      </c>
    </row>
    <row r="340" spans="1:4" x14ac:dyDescent="0.25">
      <c r="A340" t="str">
        <f>T("   GH")</f>
        <v xml:space="preserve">   GH</v>
      </c>
      <c r="B340" t="str">
        <f>T("   Ghana")</f>
        <v xml:space="preserve">   Ghana</v>
      </c>
      <c r="C340">
        <v>117927915</v>
      </c>
      <c r="D340">
        <v>381207</v>
      </c>
    </row>
    <row r="341" spans="1:4" x14ac:dyDescent="0.25">
      <c r="A341" t="str">
        <f>T("230610")</f>
        <v>230610</v>
      </c>
      <c r="B341" t="str">
        <f>T("Tourteaux et autres résidus solides, même broyés ou agglomérés sous forme de pellets, de l'extraction des graisses ou huiles de coton")</f>
        <v>Tourteaux et autres résidus solides, même broyés ou agglomérés sous forme de pellets, de l'extraction des graisses ou huiles de coton</v>
      </c>
    </row>
    <row r="342" spans="1:4" x14ac:dyDescent="0.25">
      <c r="A342" t="str">
        <f>T("   ZZZ_Monde")</f>
        <v xml:space="preserve">   ZZZ_Monde</v>
      </c>
      <c r="B342" t="str">
        <f>T("   ZZZ_Monde")</f>
        <v xml:space="preserve">   ZZZ_Monde</v>
      </c>
      <c r="C342">
        <v>2751850581</v>
      </c>
      <c r="D342">
        <v>20537892</v>
      </c>
    </row>
    <row r="343" spans="1:4" x14ac:dyDescent="0.25">
      <c r="A343" t="str">
        <f>T("   CI")</f>
        <v xml:space="preserve">   CI</v>
      </c>
      <c r="B343" t="str">
        <f>T("   Côte d'Ivoire")</f>
        <v xml:space="preserve">   Côte d'Ivoire</v>
      </c>
      <c r="C343">
        <v>973272578</v>
      </c>
      <c r="D343">
        <v>6322950</v>
      </c>
    </row>
    <row r="344" spans="1:4" x14ac:dyDescent="0.25">
      <c r="A344" t="str">
        <f>T("   DE")</f>
        <v xml:space="preserve">   DE</v>
      </c>
      <c r="B344" t="str">
        <f>T("   Allemagne")</f>
        <v xml:space="preserve">   Allemagne</v>
      </c>
      <c r="C344">
        <v>13387800</v>
      </c>
      <c r="D344">
        <v>92439</v>
      </c>
    </row>
    <row r="345" spans="1:4" x14ac:dyDescent="0.25">
      <c r="A345" t="str">
        <f>T("   GB")</f>
        <v xml:space="preserve">   GB</v>
      </c>
      <c r="B345" t="str">
        <f>T("   Royaume-Uni")</f>
        <v xml:space="preserve">   Royaume-Uni</v>
      </c>
      <c r="C345">
        <v>3565000</v>
      </c>
      <c r="D345">
        <v>71300</v>
      </c>
    </row>
    <row r="346" spans="1:4" x14ac:dyDescent="0.25">
      <c r="A346" t="str">
        <f>T("   GH")</f>
        <v xml:space="preserve">   GH</v>
      </c>
      <c r="B346" t="str">
        <f>T("   Ghana")</f>
        <v xml:space="preserve">   Ghana</v>
      </c>
      <c r="C346">
        <v>1299966436</v>
      </c>
      <c r="D346">
        <v>7706078</v>
      </c>
    </row>
    <row r="347" spans="1:4" x14ac:dyDescent="0.25">
      <c r="A347" t="str">
        <f>T("   MR")</f>
        <v xml:space="preserve">   MR</v>
      </c>
      <c r="B347" t="str">
        <f>T("   Mauritanie")</f>
        <v xml:space="preserve">   Mauritanie</v>
      </c>
      <c r="C347">
        <v>66893292</v>
      </c>
      <c r="D347">
        <v>1019777</v>
      </c>
    </row>
    <row r="348" spans="1:4" x14ac:dyDescent="0.25">
      <c r="A348" t="str">
        <f>T("   TG")</f>
        <v xml:space="preserve">   TG</v>
      </c>
      <c r="B348" t="str">
        <f>T("   Togo")</f>
        <v xml:space="preserve">   Togo</v>
      </c>
      <c r="C348">
        <v>97549680</v>
      </c>
      <c r="D348">
        <v>658400</v>
      </c>
    </row>
    <row r="349" spans="1:4" x14ac:dyDescent="0.25">
      <c r="A349" t="str">
        <f>T("   ZA")</f>
        <v xml:space="preserve">   ZA</v>
      </c>
      <c r="B349" t="str">
        <f>T("   Afrique du Sud")</f>
        <v xml:space="preserve">   Afrique du Sud</v>
      </c>
      <c r="C349">
        <v>297215795</v>
      </c>
      <c r="D349">
        <v>4666948</v>
      </c>
    </row>
    <row r="350" spans="1:4" x14ac:dyDescent="0.25">
      <c r="A350" t="str">
        <f>T("230690")</f>
        <v>230690</v>
      </c>
      <c r="B350" t="str">
        <f>T("Tourteaux et autres résidus solides, même broyés ou agglomérés sous forme de pellets, de l'extraction de graisses ou huiles végétales (à l'excl. des tourteaux et autres résidus solides de l'extraction des graisses ou huiles de soja, d'arachide, de coton,")</f>
        <v>Tourteaux et autres résidus solides, même broyés ou agglomérés sous forme de pellets, de l'extraction de graisses ou huiles végétales (à l'excl. des tourteaux et autres résidus solides de l'extraction des graisses ou huiles de soja, d'arachide, de coton,</v>
      </c>
    </row>
    <row r="351" spans="1:4" x14ac:dyDescent="0.25">
      <c r="A351" t="str">
        <f>T("   ZZZ_Monde")</f>
        <v xml:space="preserve">   ZZZ_Monde</v>
      </c>
      <c r="B351" t="str">
        <f>T("   ZZZ_Monde")</f>
        <v xml:space="preserve">   ZZZ_Monde</v>
      </c>
      <c r="C351">
        <v>259562906</v>
      </c>
      <c r="D351">
        <v>5399125</v>
      </c>
    </row>
    <row r="352" spans="1:4" x14ac:dyDescent="0.25">
      <c r="A352" t="str">
        <f>T("   TR")</f>
        <v xml:space="preserve">   TR</v>
      </c>
      <c r="B352" t="str">
        <f>T("   Turquie")</f>
        <v xml:space="preserve">   Turquie</v>
      </c>
      <c r="C352">
        <v>152216204</v>
      </c>
      <c r="D352">
        <v>3105343</v>
      </c>
    </row>
    <row r="353" spans="1:4" x14ac:dyDescent="0.25">
      <c r="A353" t="str">
        <f>T("   ZA")</f>
        <v xml:space="preserve">   ZA</v>
      </c>
      <c r="B353" t="str">
        <f>T("   Afrique du Sud")</f>
        <v xml:space="preserve">   Afrique du Sud</v>
      </c>
      <c r="C353">
        <v>107346702</v>
      </c>
      <c r="D353">
        <v>2293782</v>
      </c>
    </row>
    <row r="354" spans="1:4" x14ac:dyDescent="0.25">
      <c r="A354" t="str">
        <f>T("230800")</f>
        <v>230800</v>
      </c>
      <c r="B354" t="str">
        <f>T("Glands de chêne, marrons d'Inde, marcs de fruits et autres matières, déchets, résidus et sous-produits végétaux, même agglomérés sous forme de pellets, des types utilisés pour l'alimentation des animaux, n.d.a.")</f>
        <v>Glands de chêne, marrons d'Inde, marcs de fruits et autres matières, déchets, résidus et sous-produits végétaux, même agglomérés sous forme de pellets, des types utilisés pour l'alimentation des animaux, n.d.a.</v>
      </c>
    </row>
    <row r="355" spans="1:4" x14ac:dyDescent="0.25">
      <c r="A355" t="str">
        <f>T("   ZZZ_Monde")</f>
        <v xml:space="preserve">   ZZZ_Monde</v>
      </c>
      <c r="B355" t="str">
        <f>T("   ZZZ_Monde")</f>
        <v xml:space="preserve">   ZZZ_Monde</v>
      </c>
      <c r="C355">
        <v>98296918</v>
      </c>
      <c r="D355">
        <v>239762</v>
      </c>
    </row>
    <row r="356" spans="1:4" x14ac:dyDescent="0.25">
      <c r="A356" t="str">
        <f>T("   GA")</f>
        <v xml:space="preserve">   GA</v>
      </c>
      <c r="B356" t="str">
        <f>T("   Gabon")</f>
        <v xml:space="preserve">   Gabon</v>
      </c>
      <c r="C356">
        <v>98296918</v>
      </c>
      <c r="D356">
        <v>239762</v>
      </c>
    </row>
    <row r="357" spans="1:4" x14ac:dyDescent="0.25">
      <c r="A357" t="str">
        <f>T("230990")</f>
        <v>230990</v>
      </c>
      <c r="B357" t="str">
        <f>T("Préparations des types utilisés pour l'alimentation des animaux (à l'excl. des aliments pour chiens ou chats conditionnés pour la vente au détail)")</f>
        <v>Préparations des types utilisés pour l'alimentation des animaux (à l'excl. des aliments pour chiens ou chats conditionnés pour la vente au détail)</v>
      </c>
    </row>
    <row r="358" spans="1:4" x14ac:dyDescent="0.25">
      <c r="A358" t="str">
        <f>T("   ZZZ_Monde")</f>
        <v xml:space="preserve">   ZZZ_Monde</v>
      </c>
      <c r="B358" t="str">
        <f>T("   ZZZ_Monde")</f>
        <v xml:space="preserve">   ZZZ_Monde</v>
      </c>
      <c r="C358">
        <v>13000000</v>
      </c>
      <c r="D358">
        <v>200000</v>
      </c>
    </row>
    <row r="359" spans="1:4" x14ac:dyDescent="0.25">
      <c r="A359" t="str">
        <f>T("   BF")</f>
        <v xml:space="preserve">   BF</v>
      </c>
      <c r="B359" t="str">
        <f>T("   Burkina Faso")</f>
        <v xml:space="preserve">   Burkina Faso</v>
      </c>
      <c r="C359">
        <v>13000000</v>
      </c>
      <c r="D359">
        <v>200000</v>
      </c>
    </row>
    <row r="360" spans="1:4" x14ac:dyDescent="0.25">
      <c r="A360" t="str">
        <f>T("240220")</f>
        <v>240220</v>
      </c>
      <c r="B360" t="str">
        <f>T("Cigarettes contenant du tabac")</f>
        <v>Cigarettes contenant du tabac</v>
      </c>
    </row>
    <row r="361" spans="1:4" x14ac:dyDescent="0.25">
      <c r="A361" t="str">
        <f>T("   ZZZ_Monde")</f>
        <v xml:space="preserve">   ZZZ_Monde</v>
      </c>
      <c r="B361" t="str">
        <f>T("   ZZZ_Monde")</f>
        <v xml:space="preserve">   ZZZ_Monde</v>
      </c>
      <c r="C361">
        <v>141375000</v>
      </c>
      <c r="D361">
        <v>10875</v>
      </c>
    </row>
    <row r="362" spans="1:4" x14ac:dyDescent="0.25">
      <c r="A362" t="str">
        <f>T("   TG")</f>
        <v xml:space="preserve">   TG</v>
      </c>
      <c r="B362" t="str">
        <f>T("   Togo")</f>
        <v xml:space="preserve">   Togo</v>
      </c>
      <c r="C362">
        <v>141375000</v>
      </c>
      <c r="D362">
        <v>10875</v>
      </c>
    </row>
    <row r="363" spans="1:4" x14ac:dyDescent="0.25">
      <c r="A363" t="str">
        <f>T("240290")</f>
        <v>240290</v>
      </c>
      <c r="B363" t="str">
        <f>T("Cigares, cigarillos et cigarettes, en succédanés du tabac")</f>
        <v>Cigares, cigarillos et cigarettes, en succédanés du tabac</v>
      </c>
    </row>
    <row r="364" spans="1:4" x14ac:dyDescent="0.25">
      <c r="A364" t="str">
        <f>T("   ZZZ_Monde")</f>
        <v xml:space="preserve">   ZZZ_Monde</v>
      </c>
      <c r="B364" t="str">
        <f>T("   ZZZ_Monde")</f>
        <v xml:space="preserve">   ZZZ_Monde</v>
      </c>
      <c r="C364">
        <v>100000000</v>
      </c>
      <c r="D364">
        <v>152000</v>
      </c>
    </row>
    <row r="365" spans="1:4" x14ac:dyDescent="0.25">
      <c r="A365" t="str">
        <f>T("   LB")</f>
        <v xml:space="preserve">   LB</v>
      </c>
      <c r="B365" t="str">
        <f>T("   Liban")</f>
        <v xml:space="preserve">   Liban</v>
      </c>
      <c r="C365">
        <v>100000000</v>
      </c>
      <c r="D365">
        <v>152000</v>
      </c>
    </row>
    <row r="366" spans="1:4" x14ac:dyDescent="0.25">
      <c r="A366" t="str">
        <f>T("250100")</f>
        <v>250100</v>
      </c>
      <c r="B366" t="str">
        <f>T("SEL, Y.C. LE SEL PRÉPARÉ POUR LA TABLE ET LE SEL DÉNATURÉ, ET CHLORURE DE SODIUM PUR, MÊME EN SOLUTION AQUEUSE OU ADDITIONNÉS D'AGENTS ANTIAGGLOMÉRANTS OU D'AGENTS ASSURANT UNE BONNE FLUIDITÉ; EAU DE MER [01/01/1988-31/12/1991: SEL, Y.C. LE SEL PREPARE PO")</f>
        <v>SEL, Y.C. LE SEL PRÉPARÉ POUR LA TABLE ET LE SEL DÉNATURÉ, ET CHLORURE DE SODIUM PUR, MÊME EN SOLUTION AQUEUSE OU ADDITIONNÉS D'AGENTS ANTIAGGLOMÉRANTS OU D'AGENTS ASSURANT UNE BONNE FLUIDITÉ; EAU DE MER [01/01/1988-31/12/1991: SEL, Y.C. LE SEL PREPARE PO</v>
      </c>
    </row>
    <row r="367" spans="1:4" x14ac:dyDescent="0.25">
      <c r="A367" t="str">
        <f>T("   ZZZ_Monde")</f>
        <v xml:space="preserve">   ZZZ_Monde</v>
      </c>
      <c r="B367" t="str">
        <f>T("   ZZZ_Monde")</f>
        <v xml:space="preserve">   ZZZ_Monde</v>
      </c>
      <c r="C367">
        <v>125157306</v>
      </c>
      <c r="D367">
        <v>125796</v>
      </c>
    </row>
    <row r="368" spans="1:4" x14ac:dyDescent="0.25">
      <c r="A368" t="str">
        <f>T("   CN")</f>
        <v xml:space="preserve">   CN</v>
      </c>
      <c r="B368" t="str">
        <f>T("   Chine")</f>
        <v xml:space="preserve">   Chine</v>
      </c>
      <c r="C368">
        <v>125157306</v>
      </c>
      <c r="D368">
        <v>125796</v>
      </c>
    </row>
    <row r="369" spans="1:4" x14ac:dyDescent="0.25">
      <c r="A369" t="str">
        <f>T("251520")</f>
        <v>251520</v>
      </c>
      <c r="B369" t="str">
        <f>T("Ecaussines et autres pierres calcaires de taille ou de construction, d'une densité apparente &gt;= 2,5, et albâtre, même dégrossis ou simplement débités, par sciage ou autrement, en blocs ou en plaques de forme carrée ou rectangulaire (à l'excl. des marbres")</f>
        <v>Ecaussines et autres pierres calcaires de taille ou de construction, d'une densité apparente &gt;= 2,5, et albâtre, même dégrossis ou simplement débités, par sciage ou autrement, en blocs ou en plaques de forme carrée ou rectangulaire (à l'excl. des marbres</v>
      </c>
    </row>
    <row r="370" spans="1:4" x14ac:dyDescent="0.25">
      <c r="A370" t="str">
        <f>T("   ZZZ_Monde")</f>
        <v xml:space="preserve">   ZZZ_Monde</v>
      </c>
      <c r="B370" t="str">
        <f>T("   ZZZ_Monde")</f>
        <v xml:space="preserve">   ZZZ_Monde</v>
      </c>
      <c r="C370">
        <v>1017615800</v>
      </c>
      <c r="D370">
        <v>91870000</v>
      </c>
    </row>
    <row r="371" spans="1:4" x14ac:dyDescent="0.25">
      <c r="A371" t="str">
        <f>T("   GH")</f>
        <v xml:space="preserve">   GH</v>
      </c>
      <c r="B371" t="str">
        <f>T("   Ghana")</f>
        <v xml:space="preserve">   Ghana</v>
      </c>
      <c r="C371">
        <v>183370000</v>
      </c>
      <c r="D371">
        <v>16540000</v>
      </c>
    </row>
    <row r="372" spans="1:4" x14ac:dyDescent="0.25">
      <c r="A372" t="str">
        <f>T("   TG")</f>
        <v xml:space="preserve">   TG</v>
      </c>
      <c r="B372" t="str">
        <f>T("   Togo")</f>
        <v xml:space="preserve">   Togo</v>
      </c>
      <c r="C372">
        <v>834245800</v>
      </c>
      <c r="D372">
        <v>75330000</v>
      </c>
    </row>
    <row r="373" spans="1:4" x14ac:dyDescent="0.25">
      <c r="A373" t="str">
        <f>T("251690")</f>
        <v>251690</v>
      </c>
      <c r="B373" t="str">
        <f>T("Porphyre, basalte et autres pierres de taille ou de construction, même dégrossis ou simplement débités, en blocs ou en plaques de forme carrée ou rectangulaire (sauf granit, grès, pierres présentées sous la forme de granulés, d'éclats ou de poudres, pierr")</f>
        <v>Porphyre, basalte et autres pierres de taille ou de construction, même dégrossis ou simplement débités, en blocs ou en plaques de forme carrée ou rectangulaire (sauf granit, grès, pierres présentées sous la forme de granulés, d'éclats ou de poudres, pierr</v>
      </c>
    </row>
    <row r="374" spans="1:4" x14ac:dyDescent="0.25">
      <c r="A374" t="str">
        <f>T("   ZZZ_Monde")</f>
        <v xml:space="preserve">   ZZZ_Monde</v>
      </c>
      <c r="B374" t="str">
        <f>T("   ZZZ_Monde")</f>
        <v xml:space="preserve">   ZZZ_Monde</v>
      </c>
      <c r="C374">
        <v>2582537</v>
      </c>
      <c r="D374">
        <v>31913</v>
      </c>
    </row>
    <row r="375" spans="1:4" x14ac:dyDescent="0.25">
      <c r="A375" t="str">
        <f>T("   CG")</f>
        <v xml:space="preserve">   CG</v>
      </c>
      <c r="B375" t="str">
        <f>T("   Congo (Brazzaville)")</f>
        <v xml:space="preserve">   Congo (Brazzaville)</v>
      </c>
      <c r="C375">
        <v>900000</v>
      </c>
      <c r="D375">
        <v>4800</v>
      </c>
    </row>
    <row r="376" spans="1:4" x14ac:dyDescent="0.25">
      <c r="A376" t="str">
        <f>T("   LB")</f>
        <v xml:space="preserve">   LB</v>
      </c>
      <c r="B376" t="str">
        <f>T("   Liban")</f>
        <v xml:space="preserve">   Liban</v>
      </c>
      <c r="C376">
        <v>1682537</v>
      </c>
      <c r="D376">
        <v>27113</v>
      </c>
    </row>
    <row r="377" spans="1:4" x14ac:dyDescent="0.25">
      <c r="A377" t="str">
        <f>T("251710")</f>
        <v>251710</v>
      </c>
      <c r="B377" t="str">
        <f>T("Cailloux, graviers, pierres concassées, des types généralement utilisés pour le bétonnage ou pour l'empierrement des routes, des voies ferrées ou autres ballasts, galets et silex, même traités thermiquement")</f>
        <v>Cailloux, graviers, pierres concassées, des types généralement utilisés pour le bétonnage ou pour l'empierrement des routes, des voies ferrées ou autres ballasts, galets et silex, même traités thermiquement</v>
      </c>
    </row>
    <row r="378" spans="1:4" x14ac:dyDescent="0.25">
      <c r="A378" t="str">
        <f>T("   ZZZ_Monde")</f>
        <v xml:space="preserve">   ZZZ_Monde</v>
      </c>
      <c r="B378" t="str">
        <f>T("   ZZZ_Monde")</f>
        <v xml:space="preserve">   ZZZ_Monde</v>
      </c>
      <c r="C378">
        <v>1980000</v>
      </c>
      <c r="D378">
        <v>88000</v>
      </c>
    </row>
    <row r="379" spans="1:4" x14ac:dyDescent="0.25">
      <c r="A379" t="str">
        <f>T("   SN")</f>
        <v xml:space="preserve">   SN</v>
      </c>
      <c r="B379" t="str">
        <f>T("   Sénégal")</f>
        <v xml:space="preserve">   Sénégal</v>
      </c>
      <c r="C379">
        <v>1980000</v>
      </c>
      <c r="D379">
        <v>88000</v>
      </c>
    </row>
    <row r="380" spans="1:4" x14ac:dyDescent="0.25">
      <c r="A380" t="str">
        <f>T("251749")</f>
        <v>251749</v>
      </c>
      <c r="B380" t="str">
        <f>T("Granulés, éclats et poudres, même traités thermiquement, de travertins, d'écaussines, d'albâtre, de granit, de grès, de porphyre, de syénite, de lave, de basalte, de gneiss, de trachyte et autres pierres du n° 2515 et 2516 (à l'excl. des granulés, éclats")</f>
        <v>Granulés, éclats et poudres, même traités thermiquement, de travertins, d'écaussines, d'albâtre, de granit, de grès, de porphyre, de syénite, de lave, de basalte, de gneiss, de trachyte et autres pierres du n° 2515 et 2516 (à l'excl. des granulés, éclats</v>
      </c>
    </row>
    <row r="381" spans="1:4" x14ac:dyDescent="0.25">
      <c r="A381" t="str">
        <f>T("   ZZZ_Monde")</f>
        <v xml:space="preserve">   ZZZ_Monde</v>
      </c>
      <c r="B381" t="str">
        <f>T("   ZZZ_Monde")</f>
        <v xml:space="preserve">   ZZZ_Monde</v>
      </c>
      <c r="C381">
        <v>80418692</v>
      </c>
      <c r="D381">
        <v>32115185</v>
      </c>
    </row>
    <row r="382" spans="1:4" x14ac:dyDescent="0.25">
      <c r="A382" t="str">
        <f>T("   GH")</f>
        <v xml:space="preserve">   GH</v>
      </c>
      <c r="B382" t="str">
        <f>T("   Ghana")</f>
        <v xml:space="preserve">   Ghana</v>
      </c>
      <c r="C382">
        <v>3350000</v>
      </c>
      <c r="D382">
        <v>1340000</v>
      </c>
    </row>
    <row r="383" spans="1:4" x14ac:dyDescent="0.25">
      <c r="A383" t="str">
        <f>T("   MA")</f>
        <v xml:space="preserve">   MA</v>
      </c>
      <c r="B383" t="str">
        <f>T("   Maroc")</f>
        <v xml:space="preserve">   Maroc</v>
      </c>
      <c r="C383">
        <v>131192</v>
      </c>
      <c r="D383">
        <v>185</v>
      </c>
    </row>
    <row r="384" spans="1:4" x14ac:dyDescent="0.25">
      <c r="A384" t="str">
        <f>T("   TG")</f>
        <v xml:space="preserve">   TG</v>
      </c>
      <c r="B384" t="str">
        <f>T("   Togo")</f>
        <v xml:space="preserve">   Togo</v>
      </c>
      <c r="C384">
        <v>76937500</v>
      </c>
      <c r="D384">
        <v>30775000</v>
      </c>
    </row>
    <row r="385" spans="1:4" x14ac:dyDescent="0.25">
      <c r="A385" t="str">
        <f>T("252329")</f>
        <v>252329</v>
      </c>
      <c r="B385" t="str">
        <f>T("Ciment Portland normal ou modéré (à l'excl. des ciments Portland blancs, même colorés artificiellement)")</f>
        <v>Ciment Portland normal ou modéré (à l'excl. des ciments Portland blancs, même colorés artificiellement)</v>
      </c>
    </row>
    <row r="386" spans="1:4" x14ac:dyDescent="0.25">
      <c r="A386" t="str">
        <f>T("   ZZZ_Monde")</f>
        <v xml:space="preserve">   ZZZ_Monde</v>
      </c>
      <c r="B386" t="str">
        <f>T("   ZZZ_Monde")</f>
        <v xml:space="preserve">   ZZZ_Monde</v>
      </c>
      <c r="C386">
        <v>1126618425</v>
      </c>
      <c r="D386">
        <v>16386100</v>
      </c>
    </row>
    <row r="387" spans="1:4" x14ac:dyDescent="0.25">
      <c r="A387" t="str">
        <f>T("   GQ")</f>
        <v xml:space="preserve">   GQ</v>
      </c>
      <c r="B387" t="str">
        <f>T("   Guinée Equatoriale")</f>
        <v xml:space="preserve">   Guinée Equatoriale</v>
      </c>
      <c r="C387">
        <v>1575000</v>
      </c>
      <c r="D387">
        <v>1100</v>
      </c>
    </row>
    <row r="388" spans="1:4" x14ac:dyDescent="0.25">
      <c r="A388" t="str">
        <f>T("   NE")</f>
        <v xml:space="preserve">   NE</v>
      </c>
      <c r="B388" t="str">
        <f>T("   Niger")</f>
        <v xml:space="preserve">   Niger</v>
      </c>
      <c r="C388">
        <v>1121087025</v>
      </c>
      <c r="D388">
        <v>16035000</v>
      </c>
    </row>
    <row r="389" spans="1:4" x14ac:dyDescent="0.25">
      <c r="A389" t="str">
        <f>T("   TG")</f>
        <v xml:space="preserve">   TG</v>
      </c>
      <c r="B389" t="str">
        <f>T("   Togo")</f>
        <v xml:space="preserve">   Togo</v>
      </c>
      <c r="C389">
        <v>3956400</v>
      </c>
      <c r="D389">
        <v>350000</v>
      </c>
    </row>
    <row r="390" spans="1:4" x14ac:dyDescent="0.25">
      <c r="A390" t="str">
        <f>T("271019")</f>
        <v>271019</v>
      </c>
      <c r="B390" t="str">
        <f>T("Huiles moyennes et préparations, de pétrole ou de minéraux bitumineux, n.d.a.")</f>
        <v>Huiles moyennes et préparations, de pétrole ou de minéraux bitumineux, n.d.a.</v>
      </c>
    </row>
    <row r="391" spans="1:4" x14ac:dyDescent="0.25">
      <c r="A391" t="str">
        <f>T("   ZZZ_Monde")</f>
        <v xml:space="preserve">   ZZZ_Monde</v>
      </c>
      <c r="B391" t="str">
        <f>T("   ZZZ_Monde")</f>
        <v xml:space="preserve">   ZZZ_Monde</v>
      </c>
      <c r="C391">
        <v>199390200</v>
      </c>
      <c r="D391">
        <v>427706</v>
      </c>
    </row>
    <row r="392" spans="1:4" x14ac:dyDescent="0.25">
      <c r="A392" t="str">
        <f>T("   CI")</f>
        <v xml:space="preserve">   CI</v>
      </c>
      <c r="B392" t="str">
        <f>T("   Côte d'Ivoire")</f>
        <v xml:space="preserve">   Côte d'Ivoire</v>
      </c>
      <c r="C392">
        <v>93289551</v>
      </c>
      <c r="D392">
        <v>178364</v>
      </c>
    </row>
    <row r="393" spans="1:4" x14ac:dyDescent="0.25">
      <c r="A393" t="str">
        <f>T("   NG")</f>
        <v xml:space="preserve">   NG</v>
      </c>
      <c r="B393" t="str">
        <f>T("   Nigéria")</f>
        <v xml:space="preserve">   Nigéria</v>
      </c>
      <c r="C393">
        <v>23811217</v>
      </c>
      <c r="D393">
        <v>55958</v>
      </c>
    </row>
    <row r="394" spans="1:4" x14ac:dyDescent="0.25">
      <c r="A394" t="str">
        <f>T("   ZA")</f>
        <v xml:space="preserve">   ZA</v>
      </c>
      <c r="B394" t="str">
        <f>T("   Afrique du Sud")</f>
        <v xml:space="preserve">   Afrique du Sud</v>
      </c>
      <c r="C394">
        <v>82289432</v>
      </c>
      <c r="D394">
        <v>193384</v>
      </c>
    </row>
    <row r="395" spans="1:4" x14ac:dyDescent="0.25">
      <c r="A395" t="str">
        <f>T("271320")</f>
        <v>271320</v>
      </c>
      <c r="B395" t="str">
        <f>T("Bitume de pétrole")</f>
        <v>Bitume de pétrole</v>
      </c>
    </row>
    <row r="396" spans="1:4" x14ac:dyDescent="0.25">
      <c r="A396" t="str">
        <f>T("   ZZZ_Monde")</f>
        <v xml:space="preserve">   ZZZ_Monde</v>
      </c>
      <c r="B396" t="str">
        <f>T("   ZZZ_Monde")</f>
        <v xml:space="preserve">   ZZZ_Monde</v>
      </c>
      <c r="C396">
        <v>7668000</v>
      </c>
      <c r="D396">
        <v>18000</v>
      </c>
    </row>
    <row r="397" spans="1:4" x14ac:dyDescent="0.25">
      <c r="A397" t="str">
        <f>T("   CI")</f>
        <v xml:space="preserve">   CI</v>
      </c>
      <c r="B397" t="str">
        <f>T("   Côte d'Ivoire")</f>
        <v xml:space="preserve">   Côte d'Ivoire</v>
      </c>
      <c r="C397">
        <v>3834000</v>
      </c>
      <c r="D397">
        <v>9000</v>
      </c>
    </row>
    <row r="398" spans="1:4" x14ac:dyDescent="0.25">
      <c r="A398" t="str">
        <f>T("   TG")</f>
        <v xml:space="preserve">   TG</v>
      </c>
      <c r="B398" t="str">
        <f>T("   Togo")</f>
        <v xml:space="preserve">   Togo</v>
      </c>
      <c r="C398">
        <v>3834000</v>
      </c>
      <c r="D398">
        <v>9000</v>
      </c>
    </row>
    <row r="399" spans="1:4" x14ac:dyDescent="0.25">
      <c r="A399" t="str">
        <f>T("280421")</f>
        <v>280421</v>
      </c>
      <c r="B399" t="str">
        <f>T("Argon")</f>
        <v>Argon</v>
      </c>
    </row>
    <row r="400" spans="1:4" x14ac:dyDescent="0.25">
      <c r="A400" t="str">
        <f>T("   ZZZ_Monde")</f>
        <v xml:space="preserve">   ZZZ_Monde</v>
      </c>
      <c r="B400" t="str">
        <f>T("   ZZZ_Monde")</f>
        <v xml:space="preserve">   ZZZ_Monde</v>
      </c>
      <c r="C400">
        <v>1104590</v>
      </c>
      <c r="D400">
        <v>1500</v>
      </c>
    </row>
    <row r="401" spans="1:4" x14ac:dyDescent="0.25">
      <c r="A401" t="str">
        <f>T("   GH")</f>
        <v xml:space="preserve">   GH</v>
      </c>
      <c r="B401" t="str">
        <f>T("   Ghana")</f>
        <v xml:space="preserve">   Ghana</v>
      </c>
      <c r="C401">
        <v>1104590</v>
      </c>
      <c r="D401">
        <v>1500</v>
      </c>
    </row>
    <row r="402" spans="1:4" x14ac:dyDescent="0.25">
      <c r="A402" t="str">
        <f>T("293090")</f>
        <v>293090</v>
      </c>
      <c r="B402" t="str">
        <f>T("THIOCOMPOSÉS ORGANIQUES (À L'EXCL. DES THIOCARBAMATES, DES DITHIOCARBAMATES, DES MONO-, DI- OU TÉTRASULFURES DE THIOURAME, DE LA MÉTHIONINE, DU CAPTAFOL [ISO] AINSI QUE DU MÉTHAMIDOPHOS [ISO])")</f>
        <v>THIOCOMPOSÉS ORGANIQUES (À L'EXCL. DES THIOCARBAMATES, DES DITHIOCARBAMATES, DES MONO-, DI- OU TÉTRASULFURES DE THIOURAME, DE LA MÉTHIONINE, DU CAPTAFOL [ISO] AINSI QUE DU MÉTHAMIDOPHOS [ISO])</v>
      </c>
    </row>
    <row r="403" spans="1:4" x14ac:dyDescent="0.25">
      <c r="A403" t="str">
        <f>T("   ZZZ_Monde")</f>
        <v xml:space="preserve">   ZZZ_Monde</v>
      </c>
      <c r="B403" t="str">
        <f>T("   ZZZ_Monde")</f>
        <v xml:space="preserve">   ZZZ_Monde</v>
      </c>
      <c r="C403">
        <v>350000</v>
      </c>
      <c r="D403">
        <v>724</v>
      </c>
    </row>
    <row r="404" spans="1:4" x14ac:dyDescent="0.25">
      <c r="A404" t="str">
        <f>T("   NE")</f>
        <v xml:space="preserve">   NE</v>
      </c>
      <c r="B404" t="str">
        <f>T("   Niger")</f>
        <v xml:space="preserve">   Niger</v>
      </c>
      <c r="C404">
        <v>350000</v>
      </c>
      <c r="D404">
        <v>724</v>
      </c>
    </row>
    <row r="405" spans="1:4" x14ac:dyDescent="0.25">
      <c r="A405" t="str">
        <f>T("293329")</f>
        <v>293329</v>
      </c>
      <c r="B405" t="str">
        <f>T("COMPOSÉS HÉTÉROCYCLIQUES À HÉTÉROATOME[S] D'AZOTE EXCLUSIVEMENT, DONT LA STRUCTURE COMPORTE UN CYCLE IMIDAZOLE, HYDROGÉNÉ OU NON, NON-CONDENSÉ (À L'EXCL. DE L'HYDANTOÏNE ET DE SES DÉRIVÉS)")</f>
        <v>COMPOSÉS HÉTÉROCYCLIQUES À HÉTÉROATOME[S] D'AZOTE EXCLUSIVEMENT, DONT LA STRUCTURE COMPORTE UN CYCLE IMIDAZOLE, HYDROGÉNÉ OU NON, NON-CONDENSÉ (À L'EXCL. DE L'HYDANTOÏNE ET DE SES DÉRIVÉS)</v>
      </c>
    </row>
    <row r="406" spans="1:4" x14ac:dyDescent="0.25">
      <c r="A406" t="str">
        <f>T("   ZZZ_Monde")</f>
        <v xml:space="preserve">   ZZZ_Monde</v>
      </c>
      <c r="B406" t="str">
        <f>T("   ZZZ_Monde")</f>
        <v xml:space="preserve">   ZZZ_Monde</v>
      </c>
      <c r="C406">
        <v>60000</v>
      </c>
      <c r="D406">
        <v>5100</v>
      </c>
    </row>
    <row r="407" spans="1:4" x14ac:dyDescent="0.25">
      <c r="A407" t="str">
        <f>T("   CN")</f>
        <v xml:space="preserve">   CN</v>
      </c>
      <c r="B407" t="str">
        <f>T("   Chine")</f>
        <v xml:space="preserve">   Chine</v>
      </c>
      <c r="C407">
        <v>60000</v>
      </c>
      <c r="D407">
        <v>5100</v>
      </c>
    </row>
    <row r="408" spans="1:4" x14ac:dyDescent="0.25">
      <c r="A408" t="str">
        <f>T("300390")</f>
        <v>300390</v>
      </c>
      <c r="B408" t="str">
        <f>T("Médicaments constitués par des produits mélangés entre eux, préparés à des fins thérapeutiques ou prophylactiques, mais ni présentés sous forme de doses, ni conditionnés pour la vente au détail (sauf produits du n° 3002, 3005 ou 3006, médicaments contenan")</f>
        <v>Médicaments constitués par des produits mélangés entre eux, préparés à des fins thérapeutiques ou prophylactiques, mais ni présentés sous forme de doses, ni conditionnés pour la vente au détail (sauf produits du n° 3002, 3005 ou 3006, médicaments contenan</v>
      </c>
    </row>
    <row r="409" spans="1:4" x14ac:dyDescent="0.25">
      <c r="A409" t="str">
        <f>T("   ZZZ_Monde")</f>
        <v xml:space="preserve">   ZZZ_Monde</v>
      </c>
      <c r="B409" t="str">
        <f>T("   ZZZ_Monde")</f>
        <v xml:space="preserve">   ZZZ_Monde</v>
      </c>
      <c r="C409">
        <v>670279767</v>
      </c>
      <c r="D409">
        <v>94588.92</v>
      </c>
    </row>
    <row r="410" spans="1:4" x14ac:dyDescent="0.25">
      <c r="A410" t="str">
        <f>T("   CM")</f>
        <v xml:space="preserve">   CM</v>
      </c>
      <c r="B410" t="str">
        <f>T("   Cameroun")</f>
        <v xml:space="preserve">   Cameroun</v>
      </c>
      <c r="C410">
        <v>608436842</v>
      </c>
      <c r="D410">
        <v>89981.440000000002</v>
      </c>
    </row>
    <row r="411" spans="1:4" x14ac:dyDescent="0.25">
      <c r="A411" t="str">
        <f>T("   NE")</f>
        <v xml:space="preserve">   NE</v>
      </c>
      <c r="B411" t="str">
        <f>T("   Niger")</f>
        <v xml:space="preserve">   Niger</v>
      </c>
      <c r="C411">
        <v>61842925</v>
      </c>
      <c r="D411">
        <v>4607.4799999999996</v>
      </c>
    </row>
    <row r="412" spans="1:4" x14ac:dyDescent="0.25">
      <c r="A412" t="str">
        <f>T("300420")</f>
        <v>300420</v>
      </c>
      <c r="B412" t="str">
        <f>T("Médicaments contenant des antibiotiques, présentés sous forme de doses [y.c. ceux destinés à être administrés par voie percutanée] ou conditionnés pour la vente au détail (à l'excl. des produits contenant des pénicillines ou des dérivés de ces produits, à")</f>
        <v>Médicaments contenant des antibiotiques, présentés sous forme de doses [y.c. ceux destinés à être administrés par voie percutanée] ou conditionnés pour la vente au détail (à l'excl. des produits contenant des pénicillines ou des dérivés de ces produits, à</v>
      </c>
    </row>
    <row r="413" spans="1:4" x14ac:dyDescent="0.25">
      <c r="A413" t="str">
        <f>T("   ZZZ_Monde")</f>
        <v xml:space="preserve">   ZZZ_Monde</v>
      </c>
      <c r="B413" t="str">
        <f>T("   ZZZ_Monde")</f>
        <v xml:space="preserve">   ZZZ_Monde</v>
      </c>
      <c r="C413">
        <v>285227910</v>
      </c>
      <c r="D413">
        <v>15629</v>
      </c>
    </row>
    <row r="414" spans="1:4" x14ac:dyDescent="0.25">
      <c r="A414" t="str">
        <f>T("   GH")</f>
        <v xml:space="preserve">   GH</v>
      </c>
      <c r="B414" t="str">
        <f>T("   Ghana")</f>
        <v xml:space="preserve">   Ghana</v>
      </c>
      <c r="C414">
        <v>25149836</v>
      </c>
      <c r="D414">
        <v>741</v>
      </c>
    </row>
    <row r="415" spans="1:4" x14ac:dyDescent="0.25">
      <c r="A415" t="str">
        <f>T("   TG")</f>
        <v xml:space="preserve">   TG</v>
      </c>
      <c r="B415" t="str">
        <f>T("   Togo")</f>
        <v xml:space="preserve">   Togo</v>
      </c>
      <c r="C415">
        <v>260078074</v>
      </c>
      <c r="D415">
        <v>14888</v>
      </c>
    </row>
    <row r="416" spans="1:4" x14ac:dyDescent="0.25">
      <c r="A416" t="str">
        <f>T("300439")</f>
        <v>300439</v>
      </c>
      <c r="B416" t="str">
        <f>T("Médicaments contenant des hormones ou des stéroïdes utilisés comme hormones, mais ne contenant pas d'antibiotiques, présentés sous forme de doses [y.c. ceux destinés à être administrés par voie percutanée] ou conditionnés pour la vente au détail (à l'excl")</f>
        <v>Médicaments contenant des hormones ou des stéroïdes utilisés comme hormones, mais ne contenant pas d'antibiotiques, présentés sous forme de doses [y.c. ceux destinés à être administrés par voie percutanée] ou conditionnés pour la vente au détail (à l'excl</v>
      </c>
    </row>
    <row r="417" spans="1:4" x14ac:dyDescent="0.25">
      <c r="A417" t="str">
        <f>T("   ZZZ_Monde")</f>
        <v xml:space="preserve">   ZZZ_Monde</v>
      </c>
      <c r="B417" t="str">
        <f>T("   ZZZ_Monde")</f>
        <v xml:space="preserve">   ZZZ_Monde</v>
      </c>
      <c r="C417">
        <v>25132770</v>
      </c>
      <c r="D417">
        <v>2070</v>
      </c>
    </row>
    <row r="418" spans="1:4" x14ac:dyDescent="0.25">
      <c r="A418" t="str">
        <f>T("   TG")</f>
        <v xml:space="preserve">   TG</v>
      </c>
      <c r="B418" t="str">
        <f>T("   Togo")</f>
        <v xml:space="preserve">   Togo</v>
      </c>
      <c r="C418">
        <v>25132770</v>
      </c>
      <c r="D418">
        <v>2070</v>
      </c>
    </row>
    <row r="419" spans="1:4" x14ac:dyDescent="0.25">
      <c r="A419" t="str">
        <f>T("300490")</f>
        <v>300490</v>
      </c>
      <c r="B419" t="str">
        <f>T("Médicaments constitués par des produits mélangés ou non, préparés à des fins thérapeutiques ou prophylactiques, présentés sous forme de doses [y.c. ceux destinés à être administrés par voie percutanée] ou conditionnés pour la vente au détail (à l'excl. de")</f>
        <v>Médicaments constitués par des produits mélangés ou non, préparés à des fins thérapeutiques ou prophylactiques, présentés sous forme de doses [y.c. ceux destinés à être administrés par voie percutanée] ou conditionnés pour la vente au détail (à l'excl. de</v>
      </c>
    </row>
    <row r="420" spans="1:4" x14ac:dyDescent="0.25">
      <c r="A420" t="str">
        <f>T("   ZZZ_Monde")</f>
        <v xml:space="preserve">   ZZZ_Monde</v>
      </c>
      <c r="B420" t="str">
        <f>T("   ZZZ_Monde")</f>
        <v xml:space="preserve">   ZZZ_Monde</v>
      </c>
      <c r="C420">
        <v>183247771</v>
      </c>
      <c r="D420">
        <v>20737</v>
      </c>
    </row>
    <row r="421" spans="1:4" x14ac:dyDescent="0.25">
      <c r="A421" t="str">
        <f>T("   CM")</f>
        <v xml:space="preserve">   CM</v>
      </c>
      <c r="B421" t="str">
        <f>T("   Cameroun")</f>
        <v xml:space="preserve">   Cameroun</v>
      </c>
      <c r="C421">
        <v>79740616</v>
      </c>
      <c r="D421">
        <v>5178</v>
      </c>
    </row>
    <row r="422" spans="1:4" x14ac:dyDescent="0.25">
      <c r="A422" t="str">
        <f>T("   IN")</f>
        <v xml:space="preserve">   IN</v>
      </c>
      <c r="B422" t="str">
        <f>T("   Inde")</f>
        <v xml:space="preserve">   Inde</v>
      </c>
      <c r="C422">
        <v>4793500</v>
      </c>
      <c r="D422">
        <v>1000</v>
      </c>
    </row>
    <row r="423" spans="1:4" x14ac:dyDescent="0.25">
      <c r="A423" t="str">
        <f>T("   NE")</f>
        <v xml:space="preserve">   NE</v>
      </c>
      <c r="B423" t="str">
        <f>T("   Niger")</f>
        <v xml:space="preserve">   Niger</v>
      </c>
      <c r="C423">
        <v>22880255</v>
      </c>
      <c r="D423">
        <v>10055</v>
      </c>
    </row>
    <row r="424" spans="1:4" x14ac:dyDescent="0.25">
      <c r="A424" t="str">
        <f>T("   TG")</f>
        <v xml:space="preserve">   TG</v>
      </c>
      <c r="B424" t="str">
        <f>T("   Togo")</f>
        <v xml:space="preserve">   Togo</v>
      </c>
      <c r="C424">
        <v>75833400</v>
      </c>
      <c r="D424">
        <v>4504</v>
      </c>
    </row>
    <row r="425" spans="1:4" x14ac:dyDescent="0.25">
      <c r="A425" t="str">
        <f>T("300590")</f>
        <v>300590</v>
      </c>
      <c r="B425" t="str">
        <f>T("OUATES, GAZES, BANDES ET ARTICLES ANALOGUES [PANSEMENTS, SPARADRAPS, SINAPISMES, P.EX.], IMPRÉGNÉS OU RECOUVERTS DE SUBSTANCES PHARMACEUTIQUES OU CONDITIONNÉS POUR LA VENTE AU DÉTAIL À DES FINS MÉDICALES, CHIRURGICALES, DENTAIRES OU VÉTÉRINAIRES (À L'EXCL")</f>
        <v>OUATES, GAZES, BANDES ET ARTICLES ANALOGUES [PANSEMENTS, SPARADRAPS, SINAPISMES, P.EX.], IMPRÉGNÉS OU RECOUVERTS DE SUBSTANCES PHARMACEUTIQUES OU CONDITIONNÉS POUR LA VENTE AU DÉTAIL À DES FINS MÉDICALES, CHIRURGICALES, DENTAIRES OU VÉTÉRINAIRES (À L'EXCL</v>
      </c>
    </row>
    <row r="426" spans="1:4" x14ac:dyDescent="0.25">
      <c r="A426" t="str">
        <f>T("   ZZZ_Monde")</f>
        <v xml:space="preserve">   ZZZ_Monde</v>
      </c>
      <c r="B426" t="str">
        <f>T("   ZZZ_Monde")</f>
        <v xml:space="preserve">   ZZZ_Monde</v>
      </c>
      <c r="C426">
        <v>3675500</v>
      </c>
      <c r="D426">
        <v>1445</v>
      </c>
    </row>
    <row r="427" spans="1:4" x14ac:dyDescent="0.25">
      <c r="A427" t="str">
        <f>T("   TG")</f>
        <v xml:space="preserve">   TG</v>
      </c>
      <c r="B427" t="str">
        <f>T("   Togo")</f>
        <v xml:space="preserve">   Togo</v>
      </c>
      <c r="C427">
        <v>3675500</v>
      </c>
      <c r="D427">
        <v>1445</v>
      </c>
    </row>
    <row r="428" spans="1:4" x14ac:dyDescent="0.25">
      <c r="A428" t="str">
        <f>T("320820")</f>
        <v>320820</v>
      </c>
      <c r="B428" t="str">
        <f>T("PEINTURES ET VERNIS À BASE DE POLYMÈRES ACRYLIQUES OU VINYLIQUES, DISPERSÉS OU DISSOUS DANS UN MILIEU NON-AQUEUX, ET PRODUITS À BASE DE POLYMÈRES ACRYLIQUES OU VINYLIQUES EN SOLUTION DANS DES SOLVANTS ORGANIQUES VOLATILS, POUR AUTANT QUE LA PROPORTION DU")</f>
        <v>PEINTURES ET VERNIS À BASE DE POLYMÈRES ACRYLIQUES OU VINYLIQUES, DISPERSÉS OU DISSOUS DANS UN MILIEU NON-AQUEUX, ET PRODUITS À BASE DE POLYMÈRES ACRYLIQUES OU VINYLIQUES EN SOLUTION DANS DES SOLVANTS ORGANIQUES VOLATILS, POUR AUTANT QUE LA PROPORTION DU</v>
      </c>
    </row>
    <row r="429" spans="1:4" x14ac:dyDescent="0.25">
      <c r="A429" t="str">
        <f>T("   ZZZ_Monde")</f>
        <v xml:space="preserve">   ZZZ_Monde</v>
      </c>
      <c r="B429" t="str">
        <f>T("   ZZZ_Monde")</f>
        <v xml:space="preserve">   ZZZ_Monde</v>
      </c>
      <c r="C429">
        <v>27754044</v>
      </c>
      <c r="D429">
        <v>11917</v>
      </c>
    </row>
    <row r="430" spans="1:4" x14ac:dyDescent="0.25">
      <c r="A430" t="str">
        <f>T("   GH")</f>
        <v xml:space="preserve">   GH</v>
      </c>
      <c r="B430" t="str">
        <f>T("   Ghana")</f>
        <v xml:space="preserve">   Ghana</v>
      </c>
      <c r="C430">
        <v>13104876</v>
      </c>
      <c r="D430">
        <v>6452</v>
      </c>
    </row>
    <row r="431" spans="1:4" x14ac:dyDescent="0.25">
      <c r="A431" t="str">
        <f>T("   TG")</f>
        <v xml:space="preserve">   TG</v>
      </c>
      <c r="B431" t="str">
        <f>T("   Togo")</f>
        <v xml:space="preserve">   Togo</v>
      </c>
      <c r="C431">
        <v>14649168</v>
      </c>
      <c r="D431">
        <v>5465</v>
      </c>
    </row>
    <row r="432" spans="1:4" x14ac:dyDescent="0.25">
      <c r="A432" t="str">
        <f>T("320890")</f>
        <v>320890</v>
      </c>
      <c r="B432" t="str">
        <f>T("PEINTURES ET VERNIS À BASE DE POLYMÈRES SYNTHÉTIQUES OU DE POLYMÈRES NATURELS MODIFIÉS, DISPERSÉS OU DISSOUS DANS UN MILIEU NON-AQUEUX; PRODUITS VISÉS DANS LE LIBELLÉ DU N° 3901 À 3913 EN SOLUTION DANS DES SOLVANTS ORGANIQUES VOLATILS, POUR AUTANT QUE LA")</f>
        <v>PEINTURES ET VERNIS À BASE DE POLYMÈRES SYNTHÉTIQUES OU DE POLYMÈRES NATURELS MODIFIÉS, DISPERSÉS OU DISSOUS DANS UN MILIEU NON-AQUEUX; PRODUITS VISÉS DANS LE LIBELLÉ DU N° 3901 À 3913 EN SOLUTION DANS DES SOLVANTS ORGANIQUES VOLATILS, POUR AUTANT QUE LA</v>
      </c>
    </row>
    <row r="433" spans="1:4" x14ac:dyDescent="0.25">
      <c r="A433" t="str">
        <f>T("   ZZZ_Monde")</f>
        <v xml:space="preserve">   ZZZ_Monde</v>
      </c>
      <c r="B433" t="str">
        <f>T("   ZZZ_Monde")</f>
        <v xml:space="preserve">   ZZZ_Monde</v>
      </c>
      <c r="C433">
        <v>125801799</v>
      </c>
      <c r="D433">
        <v>47625.5</v>
      </c>
    </row>
    <row r="434" spans="1:4" x14ac:dyDescent="0.25">
      <c r="A434" t="str">
        <f>T("   BF")</f>
        <v xml:space="preserve">   BF</v>
      </c>
      <c r="B434" t="str">
        <f>T("   Burkina Faso")</f>
        <v xml:space="preserve">   Burkina Faso</v>
      </c>
      <c r="C434">
        <v>8138265</v>
      </c>
      <c r="D434">
        <v>2520</v>
      </c>
    </row>
    <row r="435" spans="1:4" x14ac:dyDescent="0.25">
      <c r="A435" t="str">
        <f>T("   NG")</f>
        <v xml:space="preserve">   NG</v>
      </c>
      <c r="B435" t="str">
        <f>T("   Nigéria")</f>
        <v xml:space="preserve">   Nigéria</v>
      </c>
      <c r="C435">
        <v>21199745</v>
      </c>
      <c r="D435">
        <v>14600</v>
      </c>
    </row>
    <row r="436" spans="1:4" x14ac:dyDescent="0.25">
      <c r="A436" t="str">
        <f>T("   TD")</f>
        <v xml:space="preserve">   TD</v>
      </c>
      <c r="B436" t="str">
        <f>T("   Tchad")</f>
        <v xml:space="preserve">   Tchad</v>
      </c>
      <c r="C436">
        <v>24893508</v>
      </c>
      <c r="D436">
        <v>11816.5</v>
      </c>
    </row>
    <row r="437" spans="1:4" x14ac:dyDescent="0.25">
      <c r="A437" t="str">
        <f>T("   TG")</f>
        <v xml:space="preserve">   TG</v>
      </c>
      <c r="B437" t="str">
        <f>T("   Togo")</f>
        <v xml:space="preserve">   Togo</v>
      </c>
      <c r="C437">
        <v>71570281</v>
      </c>
      <c r="D437">
        <v>18689</v>
      </c>
    </row>
    <row r="438" spans="1:4" x14ac:dyDescent="0.25">
      <c r="A438" t="str">
        <f>T("320910")</f>
        <v>320910</v>
      </c>
      <c r="B438" t="str">
        <f>T("Peintures et vernis à base de polymères acryliques ou vinyliques, dispersés ou dissous dans un milieu aqueux")</f>
        <v>Peintures et vernis à base de polymères acryliques ou vinyliques, dispersés ou dissous dans un milieu aqueux</v>
      </c>
    </row>
    <row r="439" spans="1:4" x14ac:dyDescent="0.25">
      <c r="A439" t="str">
        <f>T("   ZZZ_Monde")</f>
        <v xml:space="preserve">   ZZZ_Monde</v>
      </c>
      <c r="B439" t="str">
        <f>T("   ZZZ_Monde")</f>
        <v xml:space="preserve">   ZZZ_Monde</v>
      </c>
      <c r="C439">
        <v>163843399</v>
      </c>
      <c r="D439">
        <v>282190</v>
      </c>
    </row>
    <row r="440" spans="1:4" x14ac:dyDescent="0.25">
      <c r="A440" t="str">
        <f>T("   GH")</f>
        <v xml:space="preserve">   GH</v>
      </c>
      <c r="B440" t="str">
        <f>T("   Ghana")</f>
        <v xml:space="preserve">   Ghana</v>
      </c>
      <c r="C440">
        <v>21989841</v>
      </c>
      <c r="D440">
        <v>36546</v>
      </c>
    </row>
    <row r="441" spans="1:4" x14ac:dyDescent="0.25">
      <c r="A441" t="str">
        <f>T("   TG")</f>
        <v xml:space="preserve">   TG</v>
      </c>
      <c r="B441" t="str">
        <f>T("   Togo")</f>
        <v xml:space="preserve">   Togo</v>
      </c>
      <c r="C441">
        <v>141853558</v>
      </c>
      <c r="D441">
        <v>245644</v>
      </c>
    </row>
    <row r="442" spans="1:4" x14ac:dyDescent="0.25">
      <c r="A442" t="str">
        <f>T("320990")</f>
        <v>320990</v>
      </c>
      <c r="B442" t="str">
        <f>T("Peintures et vernis à base de polymères synthétiques ou de polymères naturels modifiés, dispersés ou dissous dans un milieu aqueux (à l'excl. des produits à base de polymères acryliques ou vinyliques)")</f>
        <v>Peintures et vernis à base de polymères synthétiques ou de polymères naturels modifiés, dispersés ou dissous dans un milieu aqueux (à l'excl. des produits à base de polymères acryliques ou vinyliques)</v>
      </c>
    </row>
    <row r="443" spans="1:4" x14ac:dyDescent="0.25">
      <c r="A443" t="str">
        <f>T("   ZZZ_Monde")</f>
        <v xml:space="preserve">   ZZZ_Monde</v>
      </c>
      <c r="B443" t="str">
        <f>T("   ZZZ_Monde")</f>
        <v xml:space="preserve">   ZZZ_Monde</v>
      </c>
      <c r="C443">
        <v>69633098</v>
      </c>
      <c r="D443">
        <v>154529</v>
      </c>
    </row>
    <row r="444" spans="1:4" x14ac:dyDescent="0.25">
      <c r="A444" t="str">
        <f>T("   GH")</f>
        <v xml:space="preserve">   GH</v>
      </c>
      <c r="B444" t="str">
        <f>T("   Ghana")</f>
        <v xml:space="preserve">   Ghana</v>
      </c>
      <c r="C444">
        <v>40773288</v>
      </c>
      <c r="D444">
        <v>88953</v>
      </c>
    </row>
    <row r="445" spans="1:4" x14ac:dyDescent="0.25">
      <c r="A445" t="str">
        <f>T("   TG")</f>
        <v xml:space="preserve">   TG</v>
      </c>
      <c r="B445" t="str">
        <f>T("   Togo")</f>
        <v xml:space="preserve">   Togo</v>
      </c>
      <c r="C445">
        <v>28859810</v>
      </c>
      <c r="D445">
        <v>65576</v>
      </c>
    </row>
    <row r="446" spans="1:4" x14ac:dyDescent="0.25">
      <c r="A446" t="str">
        <f>T("321000")</f>
        <v>321000</v>
      </c>
      <c r="B446" t="str">
        <f>T("Peintures et vernis (à l'excl. des produits à base de polymères synthétiques ou de polymères naturels modifiés); pigments à l'eau préparés des types utilisés pour le finissage des cuirs")</f>
        <v>Peintures et vernis (à l'excl. des produits à base de polymères synthétiques ou de polymères naturels modifiés); pigments à l'eau préparés des types utilisés pour le finissage des cuirs</v>
      </c>
    </row>
    <row r="447" spans="1:4" x14ac:dyDescent="0.25">
      <c r="A447" t="str">
        <f>T("   ZZZ_Monde")</f>
        <v xml:space="preserve">   ZZZ_Monde</v>
      </c>
      <c r="B447" t="str">
        <f>T("   ZZZ_Monde")</f>
        <v xml:space="preserve">   ZZZ_Monde</v>
      </c>
      <c r="C447">
        <v>22696161</v>
      </c>
      <c r="D447">
        <v>47998</v>
      </c>
    </row>
    <row r="448" spans="1:4" x14ac:dyDescent="0.25">
      <c r="A448" t="str">
        <f>T("   TG")</f>
        <v xml:space="preserve">   TG</v>
      </c>
      <c r="B448" t="str">
        <f>T("   Togo")</f>
        <v xml:space="preserve">   Togo</v>
      </c>
      <c r="C448">
        <v>22696161</v>
      </c>
      <c r="D448">
        <v>47998</v>
      </c>
    </row>
    <row r="449" spans="1:4" x14ac:dyDescent="0.25">
      <c r="A449" t="str">
        <f>T("330210")</f>
        <v>330210</v>
      </c>
      <c r="B449" t="str">
        <f>T("Mélanges de substances odoriférantes et mélanges, y.c. les solutions alcooliques, à base d'une ou de plusieurs de ces substances, des types utilisés comme matières de base pour les industries des produits alimentaires et des boissons")</f>
        <v>Mélanges de substances odoriférantes et mélanges, y.c. les solutions alcooliques, à base d'une ou de plusieurs de ces substances, des types utilisés comme matières de base pour les industries des produits alimentaires et des boissons</v>
      </c>
    </row>
    <row r="450" spans="1:4" x14ac:dyDescent="0.25">
      <c r="A450" t="str">
        <f>T("   ZZZ_Monde")</f>
        <v xml:space="preserve">   ZZZ_Monde</v>
      </c>
      <c r="B450" t="str">
        <f>T("   ZZZ_Monde")</f>
        <v xml:space="preserve">   ZZZ_Monde</v>
      </c>
      <c r="C450">
        <v>15662445</v>
      </c>
      <c r="D450">
        <v>634</v>
      </c>
    </row>
    <row r="451" spans="1:4" x14ac:dyDescent="0.25">
      <c r="A451" t="str">
        <f>T("   TG")</f>
        <v xml:space="preserve">   TG</v>
      </c>
      <c r="B451" t="str">
        <f>T("   Togo")</f>
        <v xml:space="preserve">   Togo</v>
      </c>
      <c r="C451">
        <v>15662445</v>
      </c>
      <c r="D451">
        <v>634</v>
      </c>
    </row>
    <row r="452" spans="1:4" x14ac:dyDescent="0.25">
      <c r="A452" t="str">
        <f>T("330499")</f>
        <v>330499</v>
      </c>
      <c r="B452" t="str">
        <f>T("Produits de beauté ou de maquillage préparés et préparations pour l'entretien ou les soins de la peau, y.c. les préparations antisolaires et les préparations pour bronzer (à l'excl. des médicaments, des produits de maquillage pour les lèvres ou les yeux,")</f>
        <v>Produits de beauté ou de maquillage préparés et préparations pour l'entretien ou les soins de la peau, y.c. les préparations antisolaires et les préparations pour bronzer (à l'excl. des médicaments, des produits de maquillage pour les lèvres ou les yeux,</v>
      </c>
    </row>
    <row r="453" spans="1:4" x14ac:dyDescent="0.25">
      <c r="A453" t="str">
        <f>T("   ZZZ_Monde")</f>
        <v xml:space="preserve">   ZZZ_Monde</v>
      </c>
      <c r="B453" t="str">
        <f>T("   ZZZ_Monde")</f>
        <v xml:space="preserve">   ZZZ_Monde</v>
      </c>
      <c r="C453">
        <v>1681500</v>
      </c>
      <c r="D453">
        <v>6050</v>
      </c>
    </row>
    <row r="454" spans="1:4" x14ac:dyDescent="0.25">
      <c r="A454" t="str">
        <f>T("   GA")</f>
        <v xml:space="preserve">   GA</v>
      </c>
      <c r="B454" t="str">
        <f>T("   Gabon")</f>
        <v xml:space="preserve">   Gabon</v>
      </c>
      <c r="C454">
        <v>630000</v>
      </c>
      <c r="D454">
        <v>5250</v>
      </c>
    </row>
    <row r="455" spans="1:4" x14ac:dyDescent="0.25">
      <c r="A455" t="str">
        <f>T("   GN")</f>
        <v xml:space="preserve">   GN</v>
      </c>
      <c r="B455" t="str">
        <f>T("   Guinée")</f>
        <v xml:space="preserve">   Guinée</v>
      </c>
      <c r="C455">
        <v>1051500</v>
      </c>
      <c r="D455">
        <v>800</v>
      </c>
    </row>
    <row r="456" spans="1:4" x14ac:dyDescent="0.25">
      <c r="A456" t="str">
        <f>T("330590")</f>
        <v>330590</v>
      </c>
      <c r="B456" t="str">
        <f>T("PRÉPARATIONS CAPILLAIRES (À L'EXCL. DES SHAMPOOINGS, DES LAQUES POUR CHEVEUX ET DES PRÉPARATIONS POUR L'ONDULATION OU LE DÉFRISAGE PERMANENTS)")</f>
        <v>PRÉPARATIONS CAPILLAIRES (À L'EXCL. DES SHAMPOOINGS, DES LAQUES POUR CHEVEUX ET DES PRÉPARATIONS POUR L'ONDULATION OU LE DÉFRISAGE PERMANENTS)</v>
      </c>
    </row>
    <row r="457" spans="1:4" x14ac:dyDescent="0.25">
      <c r="A457" t="str">
        <f>T("   ZZZ_Monde")</f>
        <v xml:space="preserve">   ZZZ_Monde</v>
      </c>
      <c r="B457" t="str">
        <f>T("   ZZZ_Monde")</f>
        <v xml:space="preserve">   ZZZ_Monde</v>
      </c>
      <c r="C457">
        <v>1900000</v>
      </c>
      <c r="D457">
        <v>2400</v>
      </c>
    </row>
    <row r="458" spans="1:4" x14ac:dyDescent="0.25">
      <c r="A458" t="str">
        <f>T("   GA")</f>
        <v xml:space="preserve">   GA</v>
      </c>
      <c r="B458" t="str">
        <f>T("   Gabon")</f>
        <v xml:space="preserve">   Gabon</v>
      </c>
      <c r="C458">
        <v>1900000</v>
      </c>
      <c r="D458">
        <v>2400</v>
      </c>
    </row>
    <row r="459" spans="1:4" x14ac:dyDescent="0.25">
      <c r="A459" t="str">
        <f>T("340111")</f>
        <v>340111</v>
      </c>
      <c r="B459" t="str">
        <f>T("Savons, produits et préparations organiques tensio-actifs à usage de savon, en barres, en pains, en morceaux ou en sujets frappés, et papier, ouates, feutres et nontissés, imprégnés, enduits ou recouverts de savon ou de détergents, pour la toilette, y.c.")</f>
        <v>Savons, produits et préparations organiques tensio-actifs à usage de savon, en barres, en pains, en morceaux ou en sujets frappés, et papier, ouates, feutres et nontissés, imprégnés, enduits ou recouverts de savon ou de détergents, pour la toilette, y.c.</v>
      </c>
    </row>
    <row r="460" spans="1:4" x14ac:dyDescent="0.25">
      <c r="A460" t="str">
        <f>T("   ZZZ_Monde")</f>
        <v xml:space="preserve">   ZZZ_Monde</v>
      </c>
      <c r="B460" t="str">
        <f>T("   ZZZ_Monde")</f>
        <v xml:space="preserve">   ZZZ_Monde</v>
      </c>
      <c r="C460">
        <v>4902960</v>
      </c>
      <c r="D460">
        <v>12000</v>
      </c>
    </row>
    <row r="461" spans="1:4" x14ac:dyDescent="0.25">
      <c r="A461" t="str">
        <f>T("   CG")</f>
        <v xml:space="preserve">   CG</v>
      </c>
      <c r="B461" t="str">
        <f>T("   Congo (Brazzaville)")</f>
        <v xml:space="preserve">   Congo (Brazzaville)</v>
      </c>
      <c r="C461">
        <v>4902960</v>
      </c>
      <c r="D461">
        <v>12000</v>
      </c>
    </row>
    <row r="462" spans="1:4" x14ac:dyDescent="0.25">
      <c r="A462" t="str">
        <f>T("340119")</f>
        <v>340119</v>
      </c>
      <c r="B462" t="str">
        <f>T("Savons, produits et préparations organiques tensio-actifs à usage de savon, en barres, en pains, en morceaux ou en sujets frappés, et papier, ouates, feutres et nontissés, imprégnés, enduits ou recouverts de savon ou de détergents (à l'excl. des produits")</f>
        <v>Savons, produits et préparations organiques tensio-actifs à usage de savon, en barres, en pains, en morceaux ou en sujets frappés, et papier, ouates, feutres et nontissés, imprégnés, enduits ou recouverts de savon ou de détergents (à l'excl. des produits</v>
      </c>
    </row>
    <row r="463" spans="1:4" x14ac:dyDescent="0.25">
      <c r="A463" t="str">
        <f>T("   ZZZ_Monde")</f>
        <v xml:space="preserve">   ZZZ_Monde</v>
      </c>
      <c r="B463" t="str">
        <f>T("   ZZZ_Monde")</f>
        <v xml:space="preserve">   ZZZ_Monde</v>
      </c>
      <c r="C463">
        <v>62600000</v>
      </c>
      <c r="D463">
        <v>80000</v>
      </c>
    </row>
    <row r="464" spans="1:4" x14ac:dyDescent="0.25">
      <c r="A464" t="str">
        <f>T("   NG")</f>
        <v xml:space="preserve">   NG</v>
      </c>
      <c r="B464" t="str">
        <f>T("   Nigéria")</f>
        <v xml:space="preserve">   Nigéria</v>
      </c>
      <c r="C464">
        <v>62600000</v>
      </c>
      <c r="D464">
        <v>80000</v>
      </c>
    </row>
    <row r="465" spans="1:4" x14ac:dyDescent="0.25">
      <c r="A465" t="str">
        <f>T("340120")</f>
        <v>340120</v>
      </c>
      <c r="B465" t="str">
        <f>T("Savons en flocons, en paillettes, en granulés ou en poudres et savons liquides ou pâteux")</f>
        <v>Savons en flocons, en paillettes, en granulés ou en poudres et savons liquides ou pâteux</v>
      </c>
    </row>
    <row r="466" spans="1:4" x14ac:dyDescent="0.25">
      <c r="A466" t="str">
        <f>T("   ZZZ_Monde")</f>
        <v xml:space="preserve">   ZZZ_Monde</v>
      </c>
      <c r="B466" t="str">
        <f>T("   ZZZ_Monde")</f>
        <v xml:space="preserve">   ZZZ_Monde</v>
      </c>
      <c r="C466">
        <v>15000</v>
      </c>
      <c r="D466">
        <v>75</v>
      </c>
    </row>
    <row r="467" spans="1:4" x14ac:dyDescent="0.25">
      <c r="A467" t="str">
        <f>T("   CD")</f>
        <v xml:space="preserve">   CD</v>
      </c>
      <c r="B467" t="str">
        <f>T("   Congo, République Démocratique")</f>
        <v xml:space="preserve">   Congo, République Démocratique</v>
      </c>
      <c r="C467">
        <v>15000</v>
      </c>
      <c r="D467">
        <v>75</v>
      </c>
    </row>
    <row r="468" spans="1:4" x14ac:dyDescent="0.25">
      <c r="A468" t="str">
        <f>T("350510")</f>
        <v>350510</v>
      </c>
      <c r="B468" t="str">
        <f>T("DEXTRINE ET AUTRES AMIDONS ET FÉCULES MODIFIÉS [LES AMIDONS ET FÉCULES PRÉ-GÉLATINISÉS OU ESTÉRIFIÉS, P.EX.]")</f>
        <v>DEXTRINE ET AUTRES AMIDONS ET FÉCULES MODIFIÉS [LES AMIDONS ET FÉCULES PRÉ-GÉLATINISÉS OU ESTÉRIFIÉS, P.EX.]</v>
      </c>
    </row>
    <row r="469" spans="1:4" x14ac:dyDescent="0.25">
      <c r="A469" t="str">
        <f>T("   ZZZ_Monde")</f>
        <v xml:space="preserve">   ZZZ_Monde</v>
      </c>
      <c r="B469" t="str">
        <f>T("   ZZZ_Monde")</f>
        <v xml:space="preserve">   ZZZ_Monde</v>
      </c>
      <c r="C469">
        <v>50063312</v>
      </c>
      <c r="D469">
        <v>68023.63</v>
      </c>
    </row>
    <row r="470" spans="1:4" x14ac:dyDescent="0.25">
      <c r="A470" t="str">
        <f>T("   CI")</f>
        <v xml:space="preserve">   CI</v>
      </c>
      <c r="B470" t="str">
        <f>T("   Côte d'Ivoire")</f>
        <v xml:space="preserve">   Côte d'Ivoire</v>
      </c>
      <c r="C470">
        <v>42435483</v>
      </c>
      <c r="D470">
        <v>57640.82</v>
      </c>
    </row>
    <row r="471" spans="1:4" x14ac:dyDescent="0.25">
      <c r="A471" t="str">
        <f>T("   GH")</f>
        <v xml:space="preserve">   GH</v>
      </c>
      <c r="B471" t="str">
        <f>T("   Ghana")</f>
        <v xml:space="preserve">   Ghana</v>
      </c>
      <c r="C471">
        <v>7627829</v>
      </c>
      <c r="D471">
        <v>10382.81</v>
      </c>
    </row>
    <row r="472" spans="1:4" x14ac:dyDescent="0.25">
      <c r="A472" t="str">
        <f>T("380810")</f>
        <v>380810</v>
      </c>
      <c r="B472" t="str">
        <f>T("Insecticides présentés dans des formes ou emballages de vente au détail ou à l'état de préparations ou sous forme d'articles")</f>
        <v>Insecticides présentés dans des formes ou emballages de vente au détail ou à l'état de préparations ou sous forme d'articles</v>
      </c>
    </row>
    <row r="473" spans="1:4" x14ac:dyDescent="0.25">
      <c r="A473" t="str">
        <f>T("   ZZZ_Monde")</f>
        <v xml:space="preserve">   ZZZ_Monde</v>
      </c>
      <c r="B473" t="str">
        <f>T("   ZZZ_Monde")</f>
        <v xml:space="preserve">   ZZZ_Monde</v>
      </c>
      <c r="C473">
        <v>51985200</v>
      </c>
      <c r="D473">
        <v>136500</v>
      </c>
    </row>
    <row r="474" spans="1:4" x14ac:dyDescent="0.25">
      <c r="A474" t="str">
        <f>T("   NE")</f>
        <v xml:space="preserve">   NE</v>
      </c>
      <c r="B474" t="str">
        <f>T("   Niger")</f>
        <v xml:space="preserve">   Niger</v>
      </c>
      <c r="C474">
        <v>20485200</v>
      </c>
      <c r="D474">
        <v>51000</v>
      </c>
    </row>
    <row r="475" spans="1:4" x14ac:dyDescent="0.25">
      <c r="A475" t="str">
        <f>T("   TG")</f>
        <v xml:space="preserve">   TG</v>
      </c>
      <c r="B475" t="str">
        <f>T("   Togo")</f>
        <v xml:space="preserve">   Togo</v>
      </c>
      <c r="C475">
        <v>31500000</v>
      </c>
      <c r="D475">
        <v>85500</v>
      </c>
    </row>
    <row r="476" spans="1:4" x14ac:dyDescent="0.25">
      <c r="A476" t="str">
        <f>T("380840")</f>
        <v>380840</v>
      </c>
      <c r="B476" t="str">
        <f>T("Désinfectants et produits simil., présentés dans des formes ou emballages de vente au détail ou à l'état de préparations ou sous forme d'articles")</f>
        <v>Désinfectants et produits simil., présentés dans des formes ou emballages de vente au détail ou à l'état de préparations ou sous forme d'articles</v>
      </c>
    </row>
    <row r="477" spans="1:4" x14ac:dyDescent="0.25">
      <c r="A477" t="str">
        <f>T("   ZZZ_Monde")</f>
        <v xml:space="preserve">   ZZZ_Monde</v>
      </c>
      <c r="B477" t="str">
        <f>T("   ZZZ_Monde")</f>
        <v xml:space="preserve">   ZZZ_Monde</v>
      </c>
      <c r="C477">
        <v>49854192</v>
      </c>
      <c r="D477">
        <v>22800</v>
      </c>
    </row>
    <row r="478" spans="1:4" x14ac:dyDescent="0.25">
      <c r="A478" t="str">
        <f>T("   FR")</f>
        <v xml:space="preserve">   FR</v>
      </c>
      <c r="B478" t="str">
        <f>T("   France")</f>
        <v xml:space="preserve">   France</v>
      </c>
      <c r="C478">
        <v>49854192</v>
      </c>
      <c r="D478">
        <v>22800</v>
      </c>
    </row>
    <row r="479" spans="1:4" x14ac:dyDescent="0.25">
      <c r="A479" t="str">
        <f>T("390120")</f>
        <v>390120</v>
      </c>
      <c r="B479" t="str">
        <f>T("Polyéthylène d'une densité &gt;= 0,94, sous formes primaires")</f>
        <v>Polyéthylène d'une densité &gt;= 0,94, sous formes primaires</v>
      </c>
    </row>
    <row r="480" spans="1:4" x14ac:dyDescent="0.25">
      <c r="A480" t="str">
        <f>T("   ZZZ_Monde")</f>
        <v xml:space="preserve">   ZZZ_Monde</v>
      </c>
      <c r="B480" t="str">
        <f>T("   ZZZ_Monde")</f>
        <v xml:space="preserve">   ZZZ_Monde</v>
      </c>
      <c r="C480">
        <v>42144397</v>
      </c>
      <c r="D480">
        <v>54000</v>
      </c>
    </row>
    <row r="481" spans="1:4" x14ac:dyDescent="0.25">
      <c r="A481" t="str">
        <f>T("   TG")</f>
        <v xml:space="preserve">   TG</v>
      </c>
      <c r="B481" t="str">
        <f>T("   Togo")</f>
        <v xml:space="preserve">   Togo</v>
      </c>
      <c r="C481">
        <v>42144397</v>
      </c>
      <c r="D481">
        <v>54000</v>
      </c>
    </row>
    <row r="482" spans="1:4" x14ac:dyDescent="0.25">
      <c r="A482" t="str">
        <f>T("390410")</f>
        <v>390410</v>
      </c>
      <c r="B482" t="str">
        <f>T("Poly[chlorure de vinyle], sous formes primaires, non mélangé à d'autres substances")</f>
        <v>Poly[chlorure de vinyle], sous formes primaires, non mélangé à d'autres substances</v>
      </c>
    </row>
    <row r="483" spans="1:4" x14ac:dyDescent="0.25">
      <c r="A483" t="str">
        <f>T("   ZZZ_Monde")</f>
        <v xml:space="preserve">   ZZZ_Monde</v>
      </c>
      <c r="B483" t="str">
        <f>T("   ZZZ_Monde")</f>
        <v xml:space="preserve">   ZZZ_Monde</v>
      </c>
      <c r="C483">
        <v>32011306</v>
      </c>
      <c r="D483">
        <v>36000</v>
      </c>
    </row>
    <row r="484" spans="1:4" x14ac:dyDescent="0.25">
      <c r="A484" t="str">
        <f>T("   TG")</f>
        <v xml:space="preserve">   TG</v>
      </c>
      <c r="B484" t="str">
        <f>T("   Togo")</f>
        <v xml:space="preserve">   Togo</v>
      </c>
      <c r="C484">
        <v>32011306</v>
      </c>
      <c r="D484">
        <v>36000</v>
      </c>
    </row>
    <row r="485" spans="1:4" x14ac:dyDescent="0.25">
      <c r="A485" t="str">
        <f>T("391590")</f>
        <v>391590</v>
      </c>
      <c r="B485" t="str">
        <f>T("Déchets, rognures et débris de matières plastiques (à l'excl. des déchets, rognures et débris de polymères de l'éthylène, du styrène ou du chlorure de vinyle)")</f>
        <v>Déchets, rognures et débris de matières plastiques (à l'excl. des déchets, rognures et débris de polymères de l'éthylène, du styrène ou du chlorure de vinyle)</v>
      </c>
    </row>
    <row r="486" spans="1:4" x14ac:dyDescent="0.25">
      <c r="A486" t="str">
        <f>T("   ZZZ_Monde")</f>
        <v xml:space="preserve">   ZZZ_Monde</v>
      </c>
      <c r="B486" t="str">
        <f>T("   ZZZ_Monde")</f>
        <v xml:space="preserve">   ZZZ_Monde</v>
      </c>
      <c r="C486">
        <v>6248750</v>
      </c>
      <c r="D486">
        <v>249950</v>
      </c>
    </row>
    <row r="487" spans="1:4" x14ac:dyDescent="0.25">
      <c r="A487" t="str">
        <f>T("   GH")</f>
        <v xml:space="preserve">   GH</v>
      </c>
      <c r="B487" t="str">
        <f>T("   Ghana")</f>
        <v xml:space="preserve">   Ghana</v>
      </c>
      <c r="C487">
        <v>404375</v>
      </c>
      <c r="D487">
        <v>16175</v>
      </c>
    </row>
    <row r="488" spans="1:4" x14ac:dyDescent="0.25">
      <c r="A488" t="str">
        <f>T("   TG")</f>
        <v xml:space="preserve">   TG</v>
      </c>
      <c r="B488" t="str">
        <f>T("   Togo")</f>
        <v xml:space="preserve">   Togo</v>
      </c>
      <c r="C488">
        <v>5844375</v>
      </c>
      <c r="D488">
        <v>233775</v>
      </c>
    </row>
    <row r="489" spans="1:4" x14ac:dyDescent="0.25">
      <c r="A489" t="str">
        <f>T("391721")</f>
        <v>391721</v>
      </c>
      <c r="B489" t="str">
        <f>T("TUBES ET TUYAUX RIGIDES, EN POLYMÈRES DE L'ÉTHYLÈNE")</f>
        <v>TUBES ET TUYAUX RIGIDES, EN POLYMÈRES DE L'ÉTHYLÈNE</v>
      </c>
    </row>
    <row r="490" spans="1:4" x14ac:dyDescent="0.25">
      <c r="A490" t="str">
        <f>T("   ZZZ_Monde")</f>
        <v xml:space="preserve">   ZZZ_Monde</v>
      </c>
      <c r="B490" t="str">
        <f>T("   ZZZ_Monde")</f>
        <v xml:space="preserve">   ZZZ_Monde</v>
      </c>
      <c r="C490">
        <v>268970297</v>
      </c>
      <c r="D490">
        <v>361596</v>
      </c>
    </row>
    <row r="491" spans="1:4" x14ac:dyDescent="0.25">
      <c r="A491" t="str">
        <f>T("   NE")</f>
        <v xml:space="preserve">   NE</v>
      </c>
      <c r="B491" t="str">
        <f>T("   Niger")</f>
        <v xml:space="preserve">   Niger</v>
      </c>
      <c r="C491">
        <v>20899000</v>
      </c>
      <c r="D491">
        <v>34346</v>
      </c>
    </row>
    <row r="492" spans="1:4" x14ac:dyDescent="0.25">
      <c r="A492" t="str">
        <f>T("   NG")</f>
        <v xml:space="preserve">   NG</v>
      </c>
      <c r="B492" t="str">
        <f>T("   Nigéria")</f>
        <v xml:space="preserve">   Nigéria</v>
      </c>
      <c r="C492">
        <v>190315500</v>
      </c>
      <c r="D492">
        <v>256750</v>
      </c>
    </row>
    <row r="493" spans="1:4" x14ac:dyDescent="0.25">
      <c r="A493" t="str">
        <f>T("   TG")</f>
        <v xml:space="preserve">   TG</v>
      </c>
      <c r="B493" t="str">
        <f>T("   Togo")</f>
        <v xml:space="preserve">   Togo</v>
      </c>
      <c r="C493">
        <v>57755797</v>
      </c>
      <c r="D493">
        <v>70500</v>
      </c>
    </row>
    <row r="494" spans="1:4" x14ac:dyDescent="0.25">
      <c r="A494" t="str">
        <f>T("391722")</f>
        <v>391722</v>
      </c>
      <c r="B494" t="str">
        <f>T("TUBES ET TUYAUX RIGIDES, EN POLYMÈRES DU PROPYLÈNE")</f>
        <v>TUBES ET TUYAUX RIGIDES, EN POLYMÈRES DU PROPYLÈNE</v>
      </c>
    </row>
    <row r="495" spans="1:4" x14ac:dyDescent="0.25">
      <c r="A495" t="str">
        <f>T("   ZZZ_Monde")</f>
        <v xml:space="preserve">   ZZZ_Monde</v>
      </c>
      <c r="B495" t="str">
        <f>T("   ZZZ_Monde")</f>
        <v xml:space="preserve">   ZZZ_Monde</v>
      </c>
      <c r="C495">
        <v>20450000</v>
      </c>
      <c r="D495">
        <v>24750</v>
      </c>
    </row>
    <row r="496" spans="1:4" x14ac:dyDescent="0.25">
      <c r="A496" t="str">
        <f>T("   TG")</f>
        <v xml:space="preserve">   TG</v>
      </c>
      <c r="B496" t="str">
        <f>T("   Togo")</f>
        <v xml:space="preserve">   Togo</v>
      </c>
      <c r="C496">
        <v>20450000</v>
      </c>
      <c r="D496">
        <v>24750</v>
      </c>
    </row>
    <row r="497" spans="1:4" x14ac:dyDescent="0.25">
      <c r="A497" t="str">
        <f>T("391723")</f>
        <v>391723</v>
      </c>
      <c r="B497" t="str">
        <f>T("TUBES ET TUYAUX RIGIDES, EN POLYMÈRES DU CHLORURE DE VINYLE")</f>
        <v>TUBES ET TUYAUX RIGIDES, EN POLYMÈRES DU CHLORURE DE VINYLE</v>
      </c>
    </row>
    <row r="498" spans="1:4" x14ac:dyDescent="0.25">
      <c r="A498" t="str">
        <f>T("   ZZZ_Monde")</f>
        <v xml:space="preserve">   ZZZ_Monde</v>
      </c>
      <c r="B498" t="str">
        <f>T("   ZZZ_Monde")</f>
        <v xml:space="preserve">   ZZZ_Monde</v>
      </c>
      <c r="C498">
        <v>60517896</v>
      </c>
      <c r="D498">
        <v>68557.2</v>
      </c>
    </row>
    <row r="499" spans="1:4" x14ac:dyDescent="0.25">
      <c r="A499" t="str">
        <f>T("   GH")</f>
        <v xml:space="preserve">   GH</v>
      </c>
      <c r="B499" t="str">
        <f>T("   Ghana")</f>
        <v xml:space="preserve">   Ghana</v>
      </c>
      <c r="C499">
        <v>1600000</v>
      </c>
      <c r="D499">
        <v>1537.2</v>
      </c>
    </row>
    <row r="500" spans="1:4" x14ac:dyDescent="0.25">
      <c r="A500" t="str">
        <f>T("   TG")</f>
        <v xml:space="preserve">   TG</v>
      </c>
      <c r="B500" t="str">
        <f>T("   Togo")</f>
        <v xml:space="preserve">   Togo</v>
      </c>
      <c r="C500">
        <v>58917896</v>
      </c>
      <c r="D500">
        <v>67020</v>
      </c>
    </row>
    <row r="501" spans="1:4" x14ac:dyDescent="0.25">
      <c r="A501" t="str">
        <f>T("391739")</f>
        <v>391739</v>
      </c>
      <c r="B501" t="str">
        <f>T("TUBES ET TUYAUX SOUPLES, EN MATIÈRES PLASTIQUES, RENFORCÉS D'AUTRES MATIÈRES OU ASSOCIÉS À D'AUTRES MATIÈRES (À L'EXCL. DES PRODUITS POUVANT SUPPORTER UNE PRESSION &gt;= 27,6 MPA)")</f>
        <v>TUBES ET TUYAUX SOUPLES, EN MATIÈRES PLASTIQUES, RENFORCÉS D'AUTRES MATIÈRES OU ASSOCIÉS À D'AUTRES MATIÈRES (À L'EXCL. DES PRODUITS POUVANT SUPPORTER UNE PRESSION &gt;= 27,6 MPA)</v>
      </c>
    </row>
    <row r="502" spans="1:4" x14ac:dyDescent="0.25">
      <c r="A502" t="str">
        <f>T("   ZZZ_Monde")</f>
        <v xml:space="preserve">   ZZZ_Monde</v>
      </c>
      <c r="B502" t="str">
        <f>T("   ZZZ_Monde")</f>
        <v xml:space="preserve">   ZZZ_Monde</v>
      </c>
      <c r="C502">
        <v>28813500</v>
      </c>
      <c r="D502">
        <v>19962.25</v>
      </c>
    </row>
    <row r="503" spans="1:4" x14ac:dyDescent="0.25">
      <c r="A503" t="str">
        <f>T("   GH")</f>
        <v xml:space="preserve">   GH</v>
      </c>
      <c r="B503" t="str">
        <f>T("   Ghana")</f>
        <v xml:space="preserve">   Ghana</v>
      </c>
      <c r="C503">
        <v>27813500</v>
      </c>
      <c r="D503">
        <v>18462.25</v>
      </c>
    </row>
    <row r="504" spans="1:4" x14ac:dyDescent="0.25">
      <c r="A504" t="str">
        <f>T("   GQ")</f>
        <v xml:space="preserve">   GQ</v>
      </c>
      <c r="B504" t="str">
        <f>T("   Guinée Equatoriale")</f>
        <v xml:space="preserve">   Guinée Equatoriale</v>
      </c>
      <c r="C504">
        <v>1000000</v>
      </c>
      <c r="D504">
        <v>1500</v>
      </c>
    </row>
    <row r="505" spans="1:4" x14ac:dyDescent="0.25">
      <c r="A505" t="str">
        <f>T("392020")</f>
        <v>392020</v>
      </c>
      <c r="B505" t="str">
        <f>T("PLAQUES, FEUILLES, PELLICULES, BANDES ET LAMES, EN POLYMÈRES DU PROPYLÈNE NON-ALVÉOLAIRES, NON-RENFORCÉES NI STRATIFIÉES, NI MUNIES D'UN SUPPORT, NI PAREILLEMENT ASSOCIÉES À D'AUTRES MATIÈRES, NON-TRAVAILLÉES OU SIMPL. OUVRÉES EN SURFACE OU SIMPL. DÉCOUPÉ")</f>
        <v>PLAQUES, FEUILLES, PELLICULES, BANDES ET LAMES, EN POLYMÈRES DU PROPYLÈNE NON-ALVÉOLAIRES, NON-RENFORCÉES NI STRATIFIÉES, NI MUNIES D'UN SUPPORT, NI PAREILLEMENT ASSOCIÉES À D'AUTRES MATIÈRES, NON-TRAVAILLÉES OU SIMPL. OUVRÉES EN SURFACE OU SIMPL. DÉCOUPÉ</v>
      </c>
    </row>
    <row r="506" spans="1:4" x14ac:dyDescent="0.25">
      <c r="A506" t="str">
        <f>T("   ZZZ_Monde")</f>
        <v xml:space="preserve">   ZZZ_Monde</v>
      </c>
      <c r="B506" t="str">
        <f>T("   ZZZ_Monde")</f>
        <v xml:space="preserve">   ZZZ_Monde</v>
      </c>
      <c r="C506">
        <v>261566781</v>
      </c>
      <c r="D506">
        <v>132991</v>
      </c>
    </row>
    <row r="507" spans="1:4" x14ac:dyDescent="0.25">
      <c r="A507" t="str">
        <f>T("   AO")</f>
        <v xml:space="preserve">   AO</v>
      </c>
      <c r="B507" t="str">
        <f>T("   Angola")</f>
        <v xml:space="preserve">   Angola</v>
      </c>
      <c r="C507">
        <v>947260</v>
      </c>
      <c r="D507">
        <v>467</v>
      </c>
    </row>
    <row r="508" spans="1:4" x14ac:dyDescent="0.25">
      <c r="A508" t="str">
        <f>T("   BF")</f>
        <v xml:space="preserve">   BF</v>
      </c>
      <c r="B508" t="str">
        <f>T("   Burkina Faso")</f>
        <v xml:space="preserve">   Burkina Faso</v>
      </c>
      <c r="C508">
        <v>3275218</v>
      </c>
      <c r="D508">
        <v>1600</v>
      </c>
    </row>
    <row r="509" spans="1:4" x14ac:dyDescent="0.25">
      <c r="A509" t="str">
        <f>T("   NE")</f>
        <v xml:space="preserve">   NE</v>
      </c>
      <c r="B509" t="str">
        <f>T("   Niger")</f>
        <v xml:space="preserve">   Niger</v>
      </c>
      <c r="C509">
        <v>65274071</v>
      </c>
      <c r="D509">
        <v>32754</v>
      </c>
    </row>
    <row r="510" spans="1:4" x14ac:dyDescent="0.25">
      <c r="A510" t="str">
        <f>T("   NG")</f>
        <v xml:space="preserve">   NG</v>
      </c>
      <c r="B510" t="str">
        <f>T("   Nigéria")</f>
        <v xml:space="preserve">   Nigéria</v>
      </c>
      <c r="C510">
        <v>166289764</v>
      </c>
      <c r="D510">
        <v>85502</v>
      </c>
    </row>
    <row r="511" spans="1:4" x14ac:dyDescent="0.25">
      <c r="A511" t="str">
        <f>T("   TG")</f>
        <v xml:space="preserve">   TG</v>
      </c>
      <c r="B511" t="str">
        <f>T("   Togo")</f>
        <v xml:space="preserve">   Togo</v>
      </c>
      <c r="C511">
        <v>25780468</v>
      </c>
      <c r="D511">
        <v>12668</v>
      </c>
    </row>
    <row r="512" spans="1:4" x14ac:dyDescent="0.25">
      <c r="A512" t="str">
        <f>T("392329")</f>
        <v>392329</v>
      </c>
      <c r="B512" t="str">
        <f>T("Sacs, sachets, pochettes et cornets, en matières plastiques (autres que les polymères de l'éthylène)")</f>
        <v>Sacs, sachets, pochettes et cornets, en matières plastiques (autres que les polymères de l'éthylène)</v>
      </c>
    </row>
    <row r="513" spans="1:4" x14ac:dyDescent="0.25">
      <c r="A513" t="str">
        <f>T("   ZZZ_Monde")</f>
        <v xml:space="preserve">   ZZZ_Monde</v>
      </c>
      <c r="B513" t="str">
        <f>T("   ZZZ_Monde")</f>
        <v xml:space="preserve">   ZZZ_Monde</v>
      </c>
      <c r="C513">
        <v>36885081</v>
      </c>
      <c r="D513">
        <v>16018</v>
      </c>
    </row>
    <row r="514" spans="1:4" x14ac:dyDescent="0.25">
      <c r="A514" t="str">
        <f>T("   CH")</f>
        <v xml:space="preserve">   CH</v>
      </c>
      <c r="B514" t="str">
        <f>T("   Suisse")</f>
        <v xml:space="preserve">   Suisse</v>
      </c>
      <c r="C514">
        <v>14907613</v>
      </c>
      <c r="D514">
        <v>10133</v>
      </c>
    </row>
    <row r="515" spans="1:4" x14ac:dyDescent="0.25">
      <c r="A515" t="str">
        <f>T("   FR")</f>
        <v xml:space="preserve">   FR</v>
      </c>
      <c r="B515" t="str">
        <f>T("   France")</f>
        <v xml:space="preserve">   France</v>
      </c>
      <c r="C515">
        <v>13345506</v>
      </c>
      <c r="D515">
        <v>18</v>
      </c>
    </row>
    <row r="516" spans="1:4" x14ac:dyDescent="0.25">
      <c r="A516" t="str">
        <f>T("   NL")</f>
        <v xml:space="preserve">   NL</v>
      </c>
      <c r="B516" t="str">
        <f>T("   Pays-bas")</f>
        <v xml:space="preserve">   Pays-bas</v>
      </c>
      <c r="C516">
        <v>3149595</v>
      </c>
      <c r="D516">
        <v>2141</v>
      </c>
    </row>
    <row r="517" spans="1:4" x14ac:dyDescent="0.25">
      <c r="A517" t="str">
        <f>T("   SG")</f>
        <v xml:space="preserve">   SG</v>
      </c>
      <c r="B517" t="str">
        <f>T("   Singapour")</f>
        <v xml:space="preserve">   Singapour</v>
      </c>
      <c r="C517">
        <v>5482367</v>
      </c>
      <c r="D517">
        <v>3726</v>
      </c>
    </row>
    <row r="518" spans="1:4" x14ac:dyDescent="0.25">
      <c r="A518" t="str">
        <f>T("392330")</f>
        <v>392330</v>
      </c>
      <c r="B518" t="str">
        <f>T("Bonbonnes, bouteilles, flacons et articles simil. pour le transport ou l'emballage, en matières plastiques")</f>
        <v>Bonbonnes, bouteilles, flacons et articles simil. pour le transport ou l'emballage, en matières plastiques</v>
      </c>
    </row>
    <row r="519" spans="1:4" x14ac:dyDescent="0.25">
      <c r="A519" t="str">
        <f>T("   ZZZ_Monde")</f>
        <v xml:space="preserve">   ZZZ_Monde</v>
      </c>
      <c r="B519" t="str">
        <f>T("   ZZZ_Monde")</f>
        <v xml:space="preserve">   ZZZ_Monde</v>
      </c>
      <c r="C519">
        <v>1308000</v>
      </c>
      <c r="D519">
        <v>90</v>
      </c>
    </row>
    <row r="520" spans="1:4" x14ac:dyDescent="0.25">
      <c r="A520" t="str">
        <f>T("   CG")</f>
        <v xml:space="preserve">   CG</v>
      </c>
      <c r="B520" t="str">
        <f>T("   Congo (Brazzaville)")</f>
        <v xml:space="preserve">   Congo (Brazzaville)</v>
      </c>
      <c r="C520">
        <v>1308000</v>
      </c>
      <c r="D520">
        <v>90</v>
      </c>
    </row>
    <row r="521" spans="1:4" x14ac:dyDescent="0.25">
      <c r="A521" t="str">
        <f>T("392390")</f>
        <v>392390</v>
      </c>
      <c r="B521" t="str">
        <f>T("Articles de transport ou d'emballage, en matières plastiques (à l'excl. des boîtes, caisses, casiers et articles simil., des sacs, sachets, pochettes et cornets, des bonbonnes, bouteilles, flacons et articles simil., des bobines, fusettes, canettes et sup")</f>
        <v>Articles de transport ou d'emballage, en matières plastiques (à l'excl. des boîtes, caisses, casiers et articles simil., des sacs, sachets, pochettes et cornets, des bonbonnes, bouteilles, flacons et articles simil., des bobines, fusettes, canettes et sup</v>
      </c>
    </row>
    <row r="522" spans="1:4" x14ac:dyDescent="0.25">
      <c r="A522" t="str">
        <f>T("   ZZZ_Monde")</f>
        <v xml:space="preserve">   ZZZ_Monde</v>
      </c>
      <c r="B522" t="str">
        <f>T("   ZZZ_Monde")</f>
        <v xml:space="preserve">   ZZZ_Monde</v>
      </c>
      <c r="C522">
        <v>65444628</v>
      </c>
      <c r="D522">
        <v>28467</v>
      </c>
    </row>
    <row r="523" spans="1:4" x14ac:dyDescent="0.25">
      <c r="A523" t="str">
        <f>T("   MY")</f>
        <v xml:space="preserve">   MY</v>
      </c>
      <c r="B523" t="str">
        <f>T("   Malaisie")</f>
        <v xml:space="preserve">   Malaisie</v>
      </c>
      <c r="C523">
        <v>60297298</v>
      </c>
      <c r="D523">
        <v>26194</v>
      </c>
    </row>
    <row r="524" spans="1:4" x14ac:dyDescent="0.25">
      <c r="A524" t="str">
        <f>T("   SN")</f>
        <v xml:space="preserve">   SN</v>
      </c>
      <c r="B524" t="str">
        <f>T("   Sénégal")</f>
        <v xml:space="preserve">   Sénégal</v>
      </c>
      <c r="C524">
        <v>5147330</v>
      </c>
      <c r="D524">
        <v>2273</v>
      </c>
    </row>
    <row r="525" spans="1:4" x14ac:dyDescent="0.25">
      <c r="A525" t="str">
        <f>T("392490")</f>
        <v>392490</v>
      </c>
      <c r="B525" t="str">
        <f>T("Articles de ménage ou d'économie domestique et articles d'hygiène ou de toilette, en matières plastiques (à l'excl. de la vaisselle et des articles pour usages sanitaires ou hygiéniques tels que baignoires, douches, lavabos, bidets, réservoirs de chasse,")</f>
        <v>Articles de ménage ou d'économie domestique et articles d'hygiène ou de toilette, en matières plastiques (à l'excl. de la vaisselle et des articles pour usages sanitaires ou hygiéniques tels que baignoires, douches, lavabos, bidets, réservoirs de chasse,</v>
      </c>
    </row>
    <row r="526" spans="1:4" x14ac:dyDescent="0.25">
      <c r="A526" t="str">
        <f>T("   ZZZ_Monde")</f>
        <v xml:space="preserve">   ZZZ_Monde</v>
      </c>
      <c r="B526" t="str">
        <f>T("   ZZZ_Monde")</f>
        <v xml:space="preserve">   ZZZ_Monde</v>
      </c>
      <c r="C526">
        <v>2560000</v>
      </c>
      <c r="D526">
        <v>22310</v>
      </c>
    </row>
    <row r="527" spans="1:4" x14ac:dyDescent="0.25">
      <c r="A527" t="str">
        <f>T("   GA")</f>
        <v xml:space="preserve">   GA</v>
      </c>
      <c r="B527" t="str">
        <f>T("   Gabon")</f>
        <v xml:space="preserve">   Gabon</v>
      </c>
      <c r="C527">
        <v>2560000</v>
      </c>
      <c r="D527">
        <v>22310</v>
      </c>
    </row>
    <row r="528" spans="1:4" x14ac:dyDescent="0.25">
      <c r="A528" t="str">
        <f>T("392620")</f>
        <v>392620</v>
      </c>
      <c r="B528" t="str">
        <f>T("Vêtements et accessoires du vêtement, y.c. les gants, mitaines et moufles, fabriqués par couture ou collage à partir de feuilles en matières plastiques")</f>
        <v>Vêtements et accessoires du vêtement, y.c. les gants, mitaines et moufles, fabriqués par couture ou collage à partir de feuilles en matières plastiques</v>
      </c>
    </row>
    <row r="529" spans="1:4" x14ac:dyDescent="0.25">
      <c r="A529" t="str">
        <f>T("   ZZZ_Monde")</f>
        <v xml:space="preserve">   ZZZ_Monde</v>
      </c>
      <c r="B529" t="str">
        <f>T("   ZZZ_Monde")</f>
        <v xml:space="preserve">   ZZZ_Monde</v>
      </c>
      <c r="C529">
        <v>1693689</v>
      </c>
      <c r="D529">
        <v>343</v>
      </c>
    </row>
    <row r="530" spans="1:4" x14ac:dyDescent="0.25">
      <c r="A530" t="str">
        <f>T("   GA")</f>
        <v xml:space="preserve">   GA</v>
      </c>
      <c r="B530" t="str">
        <f>T("   Gabon")</f>
        <v xml:space="preserve">   Gabon</v>
      </c>
      <c r="C530">
        <v>1693689</v>
      </c>
      <c r="D530">
        <v>343</v>
      </c>
    </row>
    <row r="531" spans="1:4" x14ac:dyDescent="0.25">
      <c r="A531" t="str">
        <f>T("392690")</f>
        <v>392690</v>
      </c>
      <c r="B531" t="str">
        <f>T("Ouvrages en matières plastiques et ouvrages en autres matières du n° 3901 à 3914, n.d.a.")</f>
        <v>Ouvrages en matières plastiques et ouvrages en autres matières du n° 3901 à 3914, n.d.a.</v>
      </c>
    </row>
    <row r="532" spans="1:4" x14ac:dyDescent="0.25">
      <c r="A532" t="str">
        <f>T("   ZZZ_Monde")</f>
        <v xml:space="preserve">   ZZZ_Monde</v>
      </c>
      <c r="B532" t="str">
        <f>T("   ZZZ_Monde")</f>
        <v xml:space="preserve">   ZZZ_Monde</v>
      </c>
      <c r="C532">
        <v>513117</v>
      </c>
      <c r="D532">
        <v>99</v>
      </c>
    </row>
    <row r="533" spans="1:4" x14ac:dyDescent="0.25">
      <c r="A533" t="str">
        <f>T("   GB")</f>
        <v xml:space="preserve">   GB</v>
      </c>
      <c r="B533" t="str">
        <f>T("   Royaume-Uni")</f>
        <v xml:space="preserve">   Royaume-Uni</v>
      </c>
      <c r="C533">
        <v>513117</v>
      </c>
      <c r="D533">
        <v>99</v>
      </c>
    </row>
    <row r="534" spans="1:4" x14ac:dyDescent="0.25">
      <c r="A534" t="str">
        <f>T("401019")</f>
        <v>401019</v>
      </c>
      <c r="B534" t="str">
        <f>T("Courroies transporteuses, en caoutchouc vulcanisé (à l'excl. des produits renforcés seulement de métal, de matières textiles ou de matières plastiques)")</f>
        <v>Courroies transporteuses, en caoutchouc vulcanisé (à l'excl. des produits renforcés seulement de métal, de matières textiles ou de matières plastiques)</v>
      </c>
    </row>
    <row r="535" spans="1:4" x14ac:dyDescent="0.25">
      <c r="A535" t="str">
        <f>T("   ZZZ_Monde")</f>
        <v xml:space="preserve">   ZZZ_Monde</v>
      </c>
      <c r="B535" t="str">
        <f>T("   ZZZ_Monde")</f>
        <v xml:space="preserve">   ZZZ_Monde</v>
      </c>
      <c r="C535">
        <v>14121000</v>
      </c>
      <c r="D535">
        <v>13551</v>
      </c>
    </row>
    <row r="536" spans="1:4" x14ac:dyDescent="0.25">
      <c r="A536" t="str">
        <f>T("   GH")</f>
        <v xml:space="preserve">   GH</v>
      </c>
      <c r="B536" t="str">
        <f>T("   Ghana")</f>
        <v xml:space="preserve">   Ghana</v>
      </c>
      <c r="C536">
        <v>5320500</v>
      </c>
      <c r="D536">
        <v>7800</v>
      </c>
    </row>
    <row r="537" spans="1:4" x14ac:dyDescent="0.25">
      <c r="A537" t="str">
        <f>T("   TG")</f>
        <v xml:space="preserve">   TG</v>
      </c>
      <c r="B537" t="str">
        <f>T("   Togo")</f>
        <v xml:space="preserve">   Togo</v>
      </c>
      <c r="C537">
        <v>8800500</v>
      </c>
      <c r="D537">
        <v>5751</v>
      </c>
    </row>
    <row r="538" spans="1:4" x14ac:dyDescent="0.25">
      <c r="A538" t="str">
        <f>T("401120")</f>
        <v>401120</v>
      </c>
      <c r="B538" t="str">
        <f>T("Pneumatiques neufs, en caoutchouc, des types utilisés pour les autobus ou les camions (à l'excl. des pneumatiques à crampons, à chevrons ou simil.)")</f>
        <v>Pneumatiques neufs, en caoutchouc, des types utilisés pour les autobus ou les camions (à l'excl. des pneumatiques à crampons, à chevrons ou simil.)</v>
      </c>
    </row>
    <row r="539" spans="1:4" x14ac:dyDescent="0.25">
      <c r="A539" t="str">
        <f>T("   ZZZ_Monde")</f>
        <v xml:space="preserve">   ZZZ_Monde</v>
      </c>
      <c r="B539" t="str">
        <f>T("   ZZZ_Monde")</f>
        <v xml:space="preserve">   ZZZ_Monde</v>
      </c>
      <c r="C539">
        <v>1500000</v>
      </c>
      <c r="D539">
        <v>1120</v>
      </c>
    </row>
    <row r="540" spans="1:4" x14ac:dyDescent="0.25">
      <c r="A540" t="str">
        <f>T("   NE")</f>
        <v xml:space="preserve">   NE</v>
      </c>
      <c r="B540" t="str">
        <f>T("   Niger")</f>
        <v xml:space="preserve">   Niger</v>
      </c>
      <c r="C540">
        <v>1500000</v>
      </c>
      <c r="D540">
        <v>1120</v>
      </c>
    </row>
    <row r="541" spans="1:4" x14ac:dyDescent="0.25">
      <c r="A541" t="str">
        <f>T("401219")</f>
        <v>401219</v>
      </c>
      <c r="B541" t="str">
        <f>T("Pneumatiques rechapés, en caoutchouc (à l'excl. des pneumatiques des types utilisés pour les voitures de tourisme, les voitures du type 'break', les voitures de course, les autobus, les camions ou les véhicules aériens)")</f>
        <v>Pneumatiques rechapés, en caoutchouc (à l'excl. des pneumatiques des types utilisés pour les voitures de tourisme, les voitures du type 'break', les voitures de course, les autobus, les camions ou les véhicules aériens)</v>
      </c>
    </row>
    <row r="542" spans="1:4" x14ac:dyDescent="0.25">
      <c r="A542" t="str">
        <f>T("   ZZZ_Monde")</f>
        <v xml:space="preserve">   ZZZ_Monde</v>
      </c>
      <c r="B542" t="str">
        <f>T("   ZZZ_Monde")</f>
        <v xml:space="preserve">   ZZZ_Monde</v>
      </c>
      <c r="C542">
        <v>7225980</v>
      </c>
      <c r="D542">
        <v>8850</v>
      </c>
    </row>
    <row r="543" spans="1:4" x14ac:dyDescent="0.25">
      <c r="A543" t="str">
        <f>T("   GQ")</f>
        <v xml:space="preserve">   GQ</v>
      </c>
      <c r="B543" t="str">
        <f>T("   Guinée Equatoriale")</f>
        <v xml:space="preserve">   Guinée Equatoriale</v>
      </c>
      <c r="C543">
        <v>2400000</v>
      </c>
      <c r="D543">
        <v>8000</v>
      </c>
    </row>
    <row r="544" spans="1:4" x14ac:dyDescent="0.25">
      <c r="A544" t="str">
        <f>T("   TG")</f>
        <v xml:space="preserve">   TG</v>
      </c>
      <c r="B544" t="str">
        <f>T("   Togo")</f>
        <v xml:space="preserve">   Togo</v>
      </c>
      <c r="C544">
        <v>4825980</v>
      </c>
      <c r="D544">
        <v>850</v>
      </c>
    </row>
    <row r="545" spans="1:4" x14ac:dyDescent="0.25">
      <c r="A545" t="str">
        <f>T("401220")</f>
        <v>401220</v>
      </c>
      <c r="B545" t="str">
        <f>T("Pneumatiques usagés, en caoutchouc")</f>
        <v>Pneumatiques usagés, en caoutchouc</v>
      </c>
    </row>
    <row r="546" spans="1:4" x14ac:dyDescent="0.25">
      <c r="A546" t="str">
        <f>T("   ZZZ_Monde")</f>
        <v xml:space="preserve">   ZZZ_Monde</v>
      </c>
      <c r="B546" t="str">
        <f>T("   ZZZ_Monde")</f>
        <v xml:space="preserve">   ZZZ_Monde</v>
      </c>
      <c r="C546">
        <v>4800000</v>
      </c>
      <c r="D546">
        <v>22000</v>
      </c>
    </row>
    <row r="547" spans="1:4" x14ac:dyDescent="0.25">
      <c r="A547" t="str">
        <f>T("   CG")</f>
        <v xml:space="preserve">   CG</v>
      </c>
      <c r="B547" t="str">
        <f>T("   Congo (Brazzaville)")</f>
        <v xml:space="preserve">   Congo (Brazzaville)</v>
      </c>
      <c r="C547">
        <v>4800000</v>
      </c>
      <c r="D547">
        <v>22000</v>
      </c>
    </row>
    <row r="548" spans="1:4" x14ac:dyDescent="0.25">
      <c r="A548" t="str">
        <f>T("410621")</f>
        <v>410621</v>
      </c>
      <c r="B548" t="str">
        <f>T("CUIRS ET PEAUX DE CAPRINS, À L'ÉTAT HUMIDE [Y.C. 'WET-BLUE'], TANNÉS, ÉPILÉS, MÊME REFENDUS (SAUF AUTREMENT PRÉPARÉS AINSI QUE SIMPL. PRÉTANNÉS)")</f>
        <v>CUIRS ET PEAUX DE CAPRINS, À L'ÉTAT HUMIDE [Y.C. 'WET-BLUE'], TANNÉS, ÉPILÉS, MÊME REFENDUS (SAUF AUTREMENT PRÉPARÉS AINSI QUE SIMPL. PRÉTANNÉS)</v>
      </c>
    </row>
    <row r="549" spans="1:4" x14ac:dyDescent="0.25">
      <c r="A549" t="str">
        <f>T("   ZZZ_Monde")</f>
        <v xml:space="preserve">   ZZZ_Monde</v>
      </c>
      <c r="B549" t="str">
        <f>T("   ZZZ_Monde")</f>
        <v xml:space="preserve">   ZZZ_Monde</v>
      </c>
      <c r="C549">
        <v>5779500</v>
      </c>
      <c r="D549">
        <v>17708</v>
      </c>
    </row>
    <row r="550" spans="1:4" x14ac:dyDescent="0.25">
      <c r="A550" t="str">
        <f>T("   MA")</f>
        <v xml:space="preserve">   MA</v>
      </c>
      <c r="B550" t="str">
        <f>T("   Maroc")</f>
        <v xml:space="preserve">   Maroc</v>
      </c>
      <c r="C550">
        <v>5779500</v>
      </c>
      <c r="D550">
        <v>17708</v>
      </c>
    </row>
    <row r="551" spans="1:4" x14ac:dyDescent="0.25">
      <c r="A551" t="str">
        <f>T("410692")</f>
        <v>410692</v>
      </c>
      <c r="B551" t="str">
        <f>T("CUIRS ET PEAUX ÉPILÉS D'ANTILOPES, DE CHEVREUILS, D'ÉLANS, D'ÉLÉPHANTS ET D'AUTRES ANIMAUX, Y.C. LES ANIMAUX AQUATIQUES, ET PEAUX D'ANIMAUX DÉPOURVUS DE POILS, À L'ÉTAT SEC [EN CRO¹TE], MÊME REFENDUS (SAUF AUTREMENT PRÉPARÉS AINSI QUE SIMPLEMENT PRÉTANNÉS")</f>
        <v>CUIRS ET PEAUX ÉPILÉS D'ANTILOPES, DE CHEVREUILS, D'ÉLANS, D'ÉLÉPHANTS ET D'AUTRES ANIMAUX, Y.C. LES ANIMAUX AQUATIQUES, ET PEAUX D'ANIMAUX DÉPOURVUS DE POILS, À L'ÉTAT SEC [EN CRO¹TE], MÊME REFENDUS (SAUF AUTREMENT PRÉPARÉS AINSI QUE SIMPLEMENT PRÉTANNÉS</v>
      </c>
    </row>
    <row r="552" spans="1:4" x14ac:dyDescent="0.25">
      <c r="A552" t="str">
        <f>T("   ZZZ_Monde")</f>
        <v xml:space="preserve">   ZZZ_Monde</v>
      </c>
      <c r="B552" t="str">
        <f>T("   ZZZ_Monde")</f>
        <v xml:space="preserve">   ZZZ_Monde</v>
      </c>
      <c r="C552">
        <v>10000000</v>
      </c>
      <c r="D552">
        <v>8851</v>
      </c>
    </row>
    <row r="553" spans="1:4" x14ac:dyDescent="0.25">
      <c r="A553" t="str">
        <f>T("   ES")</f>
        <v xml:space="preserve">   ES</v>
      </c>
      <c r="B553" t="str">
        <f>T("   Espagne")</f>
        <v xml:space="preserve">   Espagne</v>
      </c>
      <c r="C553">
        <v>10000000</v>
      </c>
      <c r="D553">
        <v>8851</v>
      </c>
    </row>
    <row r="554" spans="1:4" x14ac:dyDescent="0.25">
      <c r="A554" t="str">
        <f>T("420299")</f>
        <v>420299</v>
      </c>
      <c r="B554" t="str">
        <f>T("Sacs de voyage, trousses de toilette, sacs à dos, sacs à provisions, porte-cartes, trousses à outils, sacs pour articles de sport, boîtes pour bijoux, écrins pour orfèvrerie et étuis pour jumelles, appareils photographiques, caméras, instruments de musiqu")</f>
        <v>Sacs de voyage, trousses de toilette, sacs à dos, sacs à provisions, porte-cartes, trousses à outils, sacs pour articles de sport, boîtes pour bijoux, écrins pour orfèvrerie et étuis pour jumelles, appareils photographiques, caméras, instruments de musiqu</v>
      </c>
    </row>
    <row r="555" spans="1:4" x14ac:dyDescent="0.25">
      <c r="A555" t="str">
        <f>T("   ZZZ_Monde")</f>
        <v xml:space="preserve">   ZZZ_Monde</v>
      </c>
      <c r="B555" t="str">
        <f>T("   ZZZ_Monde")</f>
        <v xml:space="preserve">   ZZZ_Monde</v>
      </c>
      <c r="C555">
        <v>98394</v>
      </c>
      <c r="D555">
        <v>100</v>
      </c>
    </row>
    <row r="556" spans="1:4" x14ac:dyDescent="0.25">
      <c r="A556" t="str">
        <f>T("   FR")</f>
        <v xml:space="preserve">   FR</v>
      </c>
      <c r="B556" t="str">
        <f>T("   France")</f>
        <v xml:space="preserve">   France</v>
      </c>
      <c r="C556">
        <v>98394</v>
      </c>
      <c r="D556">
        <v>100</v>
      </c>
    </row>
    <row r="557" spans="1:4" x14ac:dyDescent="0.25">
      <c r="A557" t="str">
        <f>T("420310")</f>
        <v>420310</v>
      </c>
      <c r="B557" t="str">
        <f>T("Vêtements, en cuir naturel ou reconstitué (à l'excl. des accessoires du vêtement, des chaussures ou des coiffures et leurs parties ainsi que des articles du chapitre 95 [p.ex.les protège-tibias ou les masques d'escrime])")</f>
        <v>Vêtements, en cuir naturel ou reconstitué (à l'excl. des accessoires du vêtement, des chaussures ou des coiffures et leurs parties ainsi que des articles du chapitre 95 [p.ex.les protège-tibias ou les masques d'escrime])</v>
      </c>
    </row>
    <row r="558" spans="1:4" x14ac:dyDescent="0.25">
      <c r="A558" t="str">
        <f>T("   ZZZ_Monde")</f>
        <v xml:space="preserve">   ZZZ_Monde</v>
      </c>
      <c r="B558" t="str">
        <f>T("   ZZZ_Monde")</f>
        <v xml:space="preserve">   ZZZ_Monde</v>
      </c>
      <c r="C558">
        <v>7190250</v>
      </c>
      <c r="D558">
        <v>1940.6</v>
      </c>
    </row>
    <row r="559" spans="1:4" x14ac:dyDescent="0.25">
      <c r="A559" t="str">
        <f>T("   BE")</f>
        <v xml:space="preserve">   BE</v>
      </c>
      <c r="B559" t="str">
        <f>T("   Belgique")</f>
        <v xml:space="preserve">   Belgique</v>
      </c>
      <c r="C559">
        <v>7190250</v>
      </c>
      <c r="D559">
        <v>1940.6</v>
      </c>
    </row>
    <row r="560" spans="1:4" x14ac:dyDescent="0.25">
      <c r="A560" t="str">
        <f>T("440200")</f>
        <v>440200</v>
      </c>
      <c r="B560" t="str">
        <f>T("Charbon de bois - y.c. le charbon de coques ou de noix -, même aggloméré (à l'excl. des fusains et du charbon de bois conditionné comme médicament, mélangé d'encens ou activé)")</f>
        <v>Charbon de bois - y.c. le charbon de coques ou de noix -, même aggloméré (à l'excl. des fusains et du charbon de bois conditionné comme médicament, mélangé d'encens ou activé)</v>
      </c>
    </row>
    <row r="561" spans="1:4" x14ac:dyDescent="0.25">
      <c r="A561" t="str">
        <f>T("   ZZZ_Monde")</f>
        <v xml:space="preserve">   ZZZ_Monde</v>
      </c>
      <c r="B561" t="str">
        <f>T("   ZZZ_Monde")</f>
        <v xml:space="preserve">   ZZZ_Monde</v>
      </c>
      <c r="C561">
        <v>7074900</v>
      </c>
      <c r="D561">
        <v>101040</v>
      </c>
    </row>
    <row r="562" spans="1:4" x14ac:dyDescent="0.25">
      <c r="A562" t="str">
        <f>T("   CI")</f>
        <v xml:space="preserve">   CI</v>
      </c>
      <c r="B562" t="str">
        <f>T("   Côte d'Ivoire")</f>
        <v xml:space="preserve">   Côte d'Ivoire</v>
      </c>
      <c r="C562">
        <v>750000</v>
      </c>
      <c r="D562">
        <v>15000</v>
      </c>
    </row>
    <row r="563" spans="1:4" x14ac:dyDescent="0.25">
      <c r="A563" t="str">
        <f>T("   LB")</f>
        <v xml:space="preserve">   LB</v>
      </c>
      <c r="B563" t="str">
        <f>T("   Liban")</f>
        <v xml:space="preserve">   Liban</v>
      </c>
      <c r="C563">
        <v>6324900</v>
      </c>
      <c r="D563">
        <v>86040</v>
      </c>
    </row>
    <row r="564" spans="1:4" x14ac:dyDescent="0.25">
      <c r="A564" t="str">
        <f>T("440349")</f>
        <v>440349</v>
      </c>
      <c r="B564" t="str">
        <f>T("Bois bruts des bois tropicaux visés à la note 1 de sous-position du présent chapitre, même écorcés, désaubiérés ou équarris (à l'excl. des bois de dark red meranti, light red meranti, meranti bakau, des bois traités avec une peinture, de la créosote ou d'")</f>
        <v>Bois bruts des bois tropicaux visés à la note 1 de sous-position du présent chapitre, même écorcés, désaubiérés ou équarris (à l'excl. des bois de dark red meranti, light red meranti, meranti bakau, des bois traités avec une peinture, de la créosote ou d'</v>
      </c>
    </row>
    <row r="565" spans="1:4" x14ac:dyDescent="0.25">
      <c r="A565" t="str">
        <f>T("   ZZZ_Monde")</f>
        <v xml:space="preserve">   ZZZ_Monde</v>
      </c>
      <c r="B565" t="str">
        <f>T("   ZZZ_Monde")</f>
        <v xml:space="preserve">   ZZZ_Monde</v>
      </c>
      <c r="C565">
        <v>6000000</v>
      </c>
      <c r="D565">
        <v>500000</v>
      </c>
    </row>
    <row r="566" spans="1:4" x14ac:dyDescent="0.25">
      <c r="A566" t="str">
        <f>T("   CN")</f>
        <v xml:space="preserve">   CN</v>
      </c>
      <c r="B566" t="str">
        <f>T("   Chine")</f>
        <v xml:space="preserve">   Chine</v>
      </c>
      <c r="C566">
        <v>5500000</v>
      </c>
      <c r="D566">
        <v>490000</v>
      </c>
    </row>
    <row r="567" spans="1:4" x14ac:dyDescent="0.25">
      <c r="A567" t="str">
        <f>T("   IN")</f>
        <v xml:space="preserve">   IN</v>
      </c>
      <c r="B567" t="str">
        <f>T("   Inde")</f>
        <v xml:space="preserve">   Inde</v>
      </c>
      <c r="C567">
        <v>500000</v>
      </c>
      <c r="D567">
        <v>10000</v>
      </c>
    </row>
    <row r="568" spans="1:4" x14ac:dyDescent="0.25">
      <c r="A568" t="str">
        <f>T("440399")</f>
        <v>440399</v>
      </c>
      <c r="B568" t="str">
        <f>T("BOIS BRUTS, MÊME ÉCORCÉS, DÉSAUBIÉRÉS OU ÉQUARRIS (SAUF BOIS DE CONIFÈRES, BOIS DE CHÊNE 'QUERCUS SPP.' OU DE HÊTRE 'FAGUS SPP.', BOIS TROPICAUX VISÉS À LA NOTE 1 DE SOUS-POSITION DU PRÉSENT CHAPITRE, BOIS SIMPL. DÉGROSSIS OU ARRONDIS POUR CANNES, PARAPLU")</f>
        <v>BOIS BRUTS, MÊME ÉCORCÉS, DÉSAUBIÉRÉS OU ÉQUARRIS (SAUF BOIS DE CONIFÈRES, BOIS DE CHÊNE 'QUERCUS SPP.' OU DE HÊTRE 'FAGUS SPP.', BOIS TROPICAUX VISÉS À LA NOTE 1 DE SOUS-POSITION DU PRÉSENT CHAPITRE, BOIS SIMPL. DÉGROSSIS OU ARRONDIS POUR CANNES, PARAPLU</v>
      </c>
    </row>
    <row r="569" spans="1:4" x14ac:dyDescent="0.25">
      <c r="A569" t="str">
        <f>T("   ZZZ_Monde")</f>
        <v xml:space="preserve">   ZZZ_Monde</v>
      </c>
      <c r="B569" t="str">
        <f>T("   ZZZ_Monde")</f>
        <v xml:space="preserve">   ZZZ_Monde</v>
      </c>
      <c r="C569">
        <v>3506511640</v>
      </c>
      <c r="D569">
        <v>88889892</v>
      </c>
    </row>
    <row r="570" spans="1:4" x14ac:dyDescent="0.25">
      <c r="A570" t="str">
        <f>T("   AE")</f>
        <v xml:space="preserve">   AE</v>
      </c>
      <c r="B570" t="str">
        <f>T("   Emirats Arabes Unis")</f>
        <v xml:space="preserve">   Emirats Arabes Unis</v>
      </c>
      <c r="C570">
        <v>3000000</v>
      </c>
      <c r="D570">
        <v>60000</v>
      </c>
    </row>
    <row r="571" spans="1:4" x14ac:dyDescent="0.25">
      <c r="A571" t="str">
        <f>T("   CH")</f>
        <v xml:space="preserve">   CH</v>
      </c>
      <c r="B571" t="str">
        <f>T("   Suisse")</f>
        <v xml:space="preserve">   Suisse</v>
      </c>
      <c r="C571">
        <v>60220000</v>
      </c>
      <c r="D571">
        <v>1204400</v>
      </c>
    </row>
    <row r="572" spans="1:4" x14ac:dyDescent="0.25">
      <c r="A572" t="str">
        <f>T("   CN")</f>
        <v xml:space="preserve">   CN</v>
      </c>
      <c r="B572" t="str">
        <f>T("   Chine")</f>
        <v xml:space="preserve">   Chine</v>
      </c>
      <c r="C572">
        <v>2119601800</v>
      </c>
      <c r="D572">
        <v>65865613</v>
      </c>
    </row>
    <row r="573" spans="1:4" x14ac:dyDescent="0.25">
      <c r="A573" t="str">
        <f>T("   DE")</f>
        <v xml:space="preserve">   DE</v>
      </c>
      <c r="B573" t="str">
        <f>T("   Allemagne")</f>
        <v xml:space="preserve">   Allemagne</v>
      </c>
      <c r="C573">
        <v>500000</v>
      </c>
      <c r="D573">
        <v>10000</v>
      </c>
    </row>
    <row r="574" spans="1:4" x14ac:dyDescent="0.25">
      <c r="A574" t="str">
        <f>T("   ES")</f>
        <v xml:space="preserve">   ES</v>
      </c>
      <c r="B574" t="str">
        <f>T("   Espagne")</f>
        <v xml:space="preserve">   Espagne</v>
      </c>
      <c r="C574">
        <v>1000000</v>
      </c>
      <c r="D574">
        <v>20000</v>
      </c>
    </row>
    <row r="575" spans="1:4" x14ac:dyDescent="0.25">
      <c r="A575" t="str">
        <f>T("   IN")</f>
        <v xml:space="preserve">   IN</v>
      </c>
      <c r="B575" t="str">
        <f>T("   Inde")</f>
        <v xml:space="preserve">   Inde</v>
      </c>
      <c r="C575">
        <v>1289813400</v>
      </c>
      <c r="D575">
        <v>21340759</v>
      </c>
    </row>
    <row r="576" spans="1:4" x14ac:dyDescent="0.25">
      <c r="A576" t="str">
        <f>T("   KR")</f>
        <v xml:space="preserve">   KR</v>
      </c>
      <c r="B576" t="str">
        <f>T("   Corée, République de")</f>
        <v xml:space="preserve">   Corée, République de</v>
      </c>
      <c r="C576">
        <v>9166000</v>
      </c>
      <c r="D576">
        <v>91660</v>
      </c>
    </row>
    <row r="577" spans="1:4" x14ac:dyDescent="0.25">
      <c r="A577" t="str">
        <f>T("   NL")</f>
        <v xml:space="preserve">   NL</v>
      </c>
      <c r="B577" t="str">
        <f>T("   Pays-bas")</f>
        <v xml:space="preserve">   Pays-bas</v>
      </c>
      <c r="C577">
        <v>10737440</v>
      </c>
      <c r="D577">
        <v>48000</v>
      </c>
    </row>
    <row r="578" spans="1:4" x14ac:dyDescent="0.25">
      <c r="A578" t="str">
        <f>T("   VN")</f>
        <v xml:space="preserve">   VN</v>
      </c>
      <c r="B578" t="str">
        <f>T("   Vietnam")</f>
        <v xml:space="preserve">   Vietnam</v>
      </c>
      <c r="C578">
        <v>12473000</v>
      </c>
      <c r="D578">
        <v>249460</v>
      </c>
    </row>
    <row r="579" spans="1:4" x14ac:dyDescent="0.25">
      <c r="A579" t="str">
        <f>T("440500")</f>
        <v>440500</v>
      </c>
      <c r="B579" t="str">
        <f>T("Laine [paille] de bois; farine de bois, c'est-à-dire la poudre de bois passant, avec au maximum 8% en poids de déchets, au tamis ayant une ouverture de mailles de 0,63 mm")</f>
        <v>Laine [paille] de bois; farine de bois, c'est-à-dire la poudre de bois passant, avec au maximum 8% en poids de déchets, au tamis ayant une ouverture de mailles de 0,63 mm</v>
      </c>
    </row>
    <row r="580" spans="1:4" x14ac:dyDescent="0.25">
      <c r="A580" t="str">
        <f>T("   ZZZ_Monde")</f>
        <v xml:space="preserve">   ZZZ_Monde</v>
      </c>
      <c r="B580" t="str">
        <f>T("   ZZZ_Monde")</f>
        <v xml:space="preserve">   ZZZ_Monde</v>
      </c>
      <c r="C580">
        <v>143991500</v>
      </c>
      <c r="D580">
        <v>2977730</v>
      </c>
    </row>
    <row r="581" spans="1:4" x14ac:dyDescent="0.25">
      <c r="A581" t="str">
        <f>T("   CH")</f>
        <v xml:space="preserve">   CH</v>
      </c>
      <c r="B581" t="str">
        <f>T("   Suisse")</f>
        <v xml:space="preserve">   Suisse</v>
      </c>
      <c r="C581">
        <v>500000</v>
      </c>
      <c r="D581">
        <v>10000</v>
      </c>
    </row>
    <row r="582" spans="1:4" x14ac:dyDescent="0.25">
      <c r="A582" t="str">
        <f>T("   CN")</f>
        <v xml:space="preserve">   CN</v>
      </c>
      <c r="B582" t="str">
        <f>T("   Chine")</f>
        <v xml:space="preserve">   Chine</v>
      </c>
      <c r="C582">
        <v>102366500</v>
      </c>
      <c r="D582">
        <v>2017330</v>
      </c>
    </row>
    <row r="583" spans="1:4" x14ac:dyDescent="0.25">
      <c r="A583" t="str">
        <f>T("   IN")</f>
        <v xml:space="preserve">   IN</v>
      </c>
      <c r="B583" t="str">
        <f>T("   Inde")</f>
        <v xml:space="preserve">   Inde</v>
      </c>
      <c r="C583">
        <v>41125000</v>
      </c>
      <c r="D583">
        <v>950400</v>
      </c>
    </row>
    <row r="584" spans="1:4" x14ac:dyDescent="0.25">
      <c r="A584" t="str">
        <f>T("440690")</f>
        <v>440690</v>
      </c>
      <c r="B584" t="str">
        <f>T("Traverses en bois, pour voies ferrées ou simil., imprégnées")</f>
        <v>Traverses en bois, pour voies ferrées ou simil., imprégnées</v>
      </c>
    </row>
    <row r="585" spans="1:4" x14ac:dyDescent="0.25">
      <c r="A585" t="str">
        <f>T("   ZZZ_Monde")</f>
        <v xml:space="preserve">   ZZZ_Monde</v>
      </c>
      <c r="B585" t="str">
        <f>T("   ZZZ_Monde")</f>
        <v xml:space="preserve">   ZZZ_Monde</v>
      </c>
      <c r="C585">
        <v>951380000</v>
      </c>
      <c r="D585">
        <v>14879990</v>
      </c>
    </row>
    <row r="586" spans="1:4" x14ac:dyDescent="0.25">
      <c r="A586" t="str">
        <f>T("   CN")</f>
        <v xml:space="preserve">   CN</v>
      </c>
      <c r="B586" t="str">
        <f>T("   Chine")</f>
        <v xml:space="preserve">   Chine</v>
      </c>
      <c r="C586">
        <v>491900000</v>
      </c>
      <c r="D586">
        <v>9922090</v>
      </c>
    </row>
    <row r="587" spans="1:4" x14ac:dyDescent="0.25">
      <c r="A587" t="str">
        <f>T("   ID")</f>
        <v xml:space="preserve">   ID</v>
      </c>
      <c r="B587" t="str">
        <f>T("   Indonésie")</f>
        <v xml:space="preserve">   Indonésie</v>
      </c>
      <c r="C587">
        <v>3000000</v>
      </c>
      <c r="D587">
        <v>100000</v>
      </c>
    </row>
    <row r="588" spans="1:4" x14ac:dyDescent="0.25">
      <c r="A588" t="str">
        <f>T("   IN")</f>
        <v xml:space="preserve">   IN</v>
      </c>
      <c r="B588" t="str">
        <f>T("   Inde")</f>
        <v xml:space="preserve">   Inde</v>
      </c>
      <c r="C588">
        <v>453980000</v>
      </c>
      <c r="D588">
        <v>4817900</v>
      </c>
    </row>
    <row r="589" spans="1:4" x14ac:dyDescent="0.25">
      <c r="A589" t="str">
        <f>T("   KR")</f>
        <v xml:space="preserve">   KR</v>
      </c>
      <c r="B589" t="str">
        <f>T("   Corée, République de")</f>
        <v xml:space="preserve">   Corée, République de</v>
      </c>
      <c r="C589">
        <v>1000000</v>
      </c>
      <c r="D589">
        <v>20000</v>
      </c>
    </row>
    <row r="590" spans="1:4" x14ac:dyDescent="0.25">
      <c r="A590" t="str">
        <f>T("   LY")</f>
        <v xml:space="preserve">   LY</v>
      </c>
      <c r="B590" t="str">
        <f>T("   Libyenne, Jamahiriya Arabe")</f>
        <v xml:space="preserve">   Libyenne, Jamahiriya Arabe</v>
      </c>
      <c r="C590">
        <v>1000000</v>
      </c>
      <c r="D590">
        <v>10000</v>
      </c>
    </row>
    <row r="591" spans="1:4" x14ac:dyDescent="0.25">
      <c r="A591" t="str">
        <f>T("   VN")</f>
        <v xml:space="preserve">   VN</v>
      </c>
      <c r="B591" t="str">
        <f>T("   Vietnam")</f>
        <v xml:space="preserve">   Vietnam</v>
      </c>
      <c r="C591">
        <v>500000</v>
      </c>
      <c r="D591">
        <v>10000</v>
      </c>
    </row>
    <row r="592" spans="1:4" x14ac:dyDescent="0.25">
      <c r="A592" t="str">
        <f>T("440729")</f>
        <v>440729</v>
      </c>
      <c r="B592" t="str">
        <f>T("Bois tropicaux visés à la note 1 de sous-position du présent chapitre, sciés ou dédossés longitudinalement, tranchés ou déroulés, même rabotés, poncés ou collés par assemblage en bout, d'une épaisseur &gt; 6 mm (sauf virola, mahogany 'Swietenia spp.', imbuia")</f>
        <v>Bois tropicaux visés à la note 1 de sous-position du présent chapitre, sciés ou dédossés longitudinalement, tranchés ou déroulés, même rabotés, poncés ou collés par assemblage en bout, d'une épaisseur &gt; 6 mm (sauf virola, mahogany 'Swietenia spp.', imbuia</v>
      </c>
    </row>
    <row r="593" spans="1:4" x14ac:dyDescent="0.25">
      <c r="A593" t="str">
        <f>T("   ZZZ_Monde")</f>
        <v xml:space="preserve">   ZZZ_Monde</v>
      </c>
      <c r="B593" t="str">
        <f>T("   ZZZ_Monde")</f>
        <v xml:space="preserve">   ZZZ_Monde</v>
      </c>
      <c r="C593">
        <v>2089857243</v>
      </c>
      <c r="D593">
        <v>23821971</v>
      </c>
    </row>
    <row r="594" spans="1:4" x14ac:dyDescent="0.25">
      <c r="A594" t="str">
        <f>T("   AE")</f>
        <v xml:space="preserve">   AE</v>
      </c>
      <c r="B594" t="str">
        <f>T("   Emirats Arabes Unis")</f>
        <v xml:space="preserve">   Emirats Arabes Unis</v>
      </c>
      <c r="C594">
        <v>14153311</v>
      </c>
      <c r="D594">
        <v>45000</v>
      </c>
    </row>
    <row r="595" spans="1:4" x14ac:dyDescent="0.25">
      <c r="A595" t="str">
        <f>T("   CI")</f>
        <v xml:space="preserve">   CI</v>
      </c>
      <c r="B595" t="str">
        <f>T("   Côte d'Ivoire")</f>
        <v xml:space="preserve">   Côte d'Ivoire</v>
      </c>
      <c r="C595">
        <v>89926466</v>
      </c>
      <c r="D595">
        <v>140000</v>
      </c>
    </row>
    <row r="596" spans="1:4" x14ac:dyDescent="0.25">
      <c r="A596" t="str">
        <f>T("   CN")</f>
        <v xml:space="preserve">   CN</v>
      </c>
      <c r="B596" t="str">
        <f>T("   Chine")</f>
        <v xml:space="preserve">   Chine</v>
      </c>
      <c r="C596">
        <v>955669735</v>
      </c>
      <c r="D596">
        <v>18616000</v>
      </c>
    </row>
    <row r="597" spans="1:4" x14ac:dyDescent="0.25">
      <c r="A597" t="str">
        <f>T("   DE")</f>
        <v xml:space="preserve">   DE</v>
      </c>
      <c r="B597" t="str">
        <f>T("   Allemagne")</f>
        <v xml:space="preserve">   Allemagne</v>
      </c>
      <c r="C597">
        <v>15993395</v>
      </c>
      <c r="D597">
        <v>45000</v>
      </c>
    </row>
    <row r="598" spans="1:4" x14ac:dyDescent="0.25">
      <c r="A598" t="str">
        <f>T("   ES")</f>
        <v xml:space="preserve">   ES</v>
      </c>
      <c r="B598" t="str">
        <f>T("   Espagne")</f>
        <v xml:space="preserve">   Espagne</v>
      </c>
      <c r="C598">
        <v>12700004</v>
      </c>
      <c r="D598">
        <v>10000</v>
      </c>
    </row>
    <row r="599" spans="1:4" x14ac:dyDescent="0.25">
      <c r="A599" t="str">
        <f>T("   FR")</f>
        <v xml:space="preserve">   FR</v>
      </c>
      <c r="B599" t="str">
        <f>T("   France")</f>
        <v xml:space="preserve">   France</v>
      </c>
      <c r="C599">
        <v>11308056</v>
      </c>
      <c r="D599">
        <v>10000</v>
      </c>
    </row>
    <row r="600" spans="1:4" x14ac:dyDescent="0.25">
      <c r="A600" t="str">
        <f>T("   IN")</f>
        <v xml:space="preserve">   IN</v>
      </c>
      <c r="B600" t="str">
        <f>T("   Inde")</f>
        <v xml:space="preserve">   Inde</v>
      </c>
      <c r="C600">
        <v>845394553</v>
      </c>
      <c r="D600">
        <v>3419265</v>
      </c>
    </row>
    <row r="601" spans="1:4" x14ac:dyDescent="0.25">
      <c r="A601" t="str">
        <f>T("   IT")</f>
        <v xml:space="preserve">   IT</v>
      </c>
      <c r="B601" t="str">
        <f>T("   Italie")</f>
        <v xml:space="preserve">   Italie</v>
      </c>
      <c r="C601">
        <v>24068773</v>
      </c>
      <c r="D601">
        <v>40000</v>
      </c>
    </row>
    <row r="602" spans="1:4" x14ac:dyDescent="0.25">
      <c r="A602" t="str">
        <f>T("   KR")</f>
        <v xml:space="preserve">   KR</v>
      </c>
      <c r="B602" t="str">
        <f>T("   Corée, République de")</f>
        <v xml:space="preserve">   Corée, République de</v>
      </c>
      <c r="C602">
        <v>1000000</v>
      </c>
      <c r="D602">
        <v>20000</v>
      </c>
    </row>
    <row r="603" spans="1:4" x14ac:dyDescent="0.25">
      <c r="A603" t="str">
        <f>T("   LB")</f>
        <v xml:space="preserve">   LB</v>
      </c>
      <c r="B603" t="str">
        <f>T("   Liban")</f>
        <v xml:space="preserve">   Liban</v>
      </c>
      <c r="C603">
        <v>4340000</v>
      </c>
      <c r="D603">
        <v>22000</v>
      </c>
    </row>
    <row r="604" spans="1:4" x14ac:dyDescent="0.25">
      <c r="A604" t="str">
        <f>T("   MA")</f>
        <v xml:space="preserve">   MA</v>
      </c>
      <c r="B604" t="str">
        <f>T("   Maroc")</f>
        <v xml:space="preserve">   Maroc</v>
      </c>
      <c r="C604">
        <v>500000</v>
      </c>
      <c r="D604">
        <v>10000</v>
      </c>
    </row>
    <row r="605" spans="1:4" x14ac:dyDescent="0.25">
      <c r="A605" t="str">
        <f>T("   SG")</f>
        <v xml:space="preserve">   SG</v>
      </c>
      <c r="B605" t="str">
        <f>T("   Singapour")</f>
        <v xml:space="preserve">   Singapour</v>
      </c>
      <c r="C605">
        <v>114802950</v>
      </c>
      <c r="D605">
        <v>1444706</v>
      </c>
    </row>
    <row r="606" spans="1:4" x14ac:dyDescent="0.25">
      <c r="A606" t="str">
        <f>T("440799")</f>
        <v>440799</v>
      </c>
      <c r="B606" t="str">
        <f>T("Bois sciés ou dédossés longitudinalement, tranchés ou déroulés, d'une épaisseur &gt; 6 mm, même rabotés, poncés ou collés par assemblage en bout (à l'excl. des bois tropicaux visés à la note 1 de sous-position du présent chapitre ainsi que des bois de conifè")</f>
        <v>Bois sciés ou dédossés longitudinalement, tranchés ou déroulés, d'une épaisseur &gt; 6 mm, même rabotés, poncés ou collés par assemblage en bout (à l'excl. des bois tropicaux visés à la note 1 de sous-position du présent chapitre ainsi que des bois de conifè</v>
      </c>
    </row>
    <row r="607" spans="1:4" x14ac:dyDescent="0.25">
      <c r="A607" t="str">
        <f>T("   ZZZ_Monde")</f>
        <v xml:space="preserve">   ZZZ_Monde</v>
      </c>
      <c r="B607" t="str">
        <f>T("   ZZZ_Monde")</f>
        <v xml:space="preserve">   ZZZ_Monde</v>
      </c>
      <c r="C607">
        <v>846875966</v>
      </c>
      <c r="D607">
        <v>29832400</v>
      </c>
    </row>
    <row r="608" spans="1:4" x14ac:dyDescent="0.25">
      <c r="A608" t="str">
        <f>T("   AO")</f>
        <v xml:space="preserve">   AO</v>
      </c>
      <c r="B608" t="str">
        <f>T("   Angola")</f>
        <v xml:space="preserve">   Angola</v>
      </c>
      <c r="C608">
        <v>500000</v>
      </c>
      <c r="D608">
        <v>15000</v>
      </c>
    </row>
    <row r="609" spans="1:4" x14ac:dyDescent="0.25">
      <c r="A609" t="str">
        <f>T("   CI")</f>
        <v xml:space="preserve">   CI</v>
      </c>
      <c r="B609" t="str">
        <f>T("   Côte d'Ivoire")</f>
        <v xml:space="preserve">   Côte d'Ivoire</v>
      </c>
      <c r="C609">
        <v>15013635</v>
      </c>
      <c r="D609">
        <v>65000</v>
      </c>
    </row>
    <row r="610" spans="1:4" x14ac:dyDescent="0.25">
      <c r="A610" t="str">
        <f>T("   CN")</f>
        <v xml:space="preserve">   CN</v>
      </c>
      <c r="B610" t="str">
        <f>T("   Chine")</f>
        <v xml:space="preserve">   Chine</v>
      </c>
      <c r="C610">
        <v>583213000</v>
      </c>
      <c r="D610">
        <v>24367360</v>
      </c>
    </row>
    <row r="611" spans="1:4" x14ac:dyDescent="0.25">
      <c r="A611" t="str">
        <f>T("   DK")</f>
        <v xml:space="preserve">   DK</v>
      </c>
      <c r="B611" t="str">
        <f>T("   Danemark")</f>
        <v xml:space="preserve">   Danemark</v>
      </c>
      <c r="C611">
        <v>500000</v>
      </c>
      <c r="D611">
        <v>21800</v>
      </c>
    </row>
    <row r="612" spans="1:4" x14ac:dyDescent="0.25">
      <c r="A612" t="str">
        <f>T("   ES")</f>
        <v xml:space="preserve">   ES</v>
      </c>
      <c r="B612" t="str">
        <f>T("   Espagne")</f>
        <v xml:space="preserve">   Espagne</v>
      </c>
      <c r="C612">
        <v>750000</v>
      </c>
      <c r="D612">
        <v>15000</v>
      </c>
    </row>
    <row r="613" spans="1:4" x14ac:dyDescent="0.25">
      <c r="A613" t="str">
        <f>T("   IN")</f>
        <v xml:space="preserve">   IN</v>
      </c>
      <c r="B613" t="str">
        <f>T("   Inde")</f>
        <v xml:space="preserve">   Inde</v>
      </c>
      <c r="C613">
        <v>242899331</v>
      </c>
      <c r="D613">
        <v>5132240</v>
      </c>
    </row>
    <row r="614" spans="1:4" x14ac:dyDescent="0.25">
      <c r="A614" t="str">
        <f>T("   TR")</f>
        <v xml:space="preserve">   TR</v>
      </c>
      <c r="B614" t="str">
        <f>T("   Turquie")</f>
        <v xml:space="preserve">   Turquie</v>
      </c>
      <c r="C614">
        <v>1000000</v>
      </c>
      <c r="D614">
        <v>20000</v>
      </c>
    </row>
    <row r="615" spans="1:4" x14ac:dyDescent="0.25">
      <c r="A615" t="str">
        <f>T("   VN")</f>
        <v xml:space="preserve">   VN</v>
      </c>
      <c r="B615" t="str">
        <f>T("   Vietnam")</f>
        <v xml:space="preserve">   Vietnam</v>
      </c>
      <c r="C615">
        <v>3000000</v>
      </c>
      <c r="D615">
        <v>196000</v>
      </c>
    </row>
    <row r="616" spans="1:4" x14ac:dyDescent="0.25">
      <c r="A616" t="str">
        <f>T("440910")</f>
        <v>440910</v>
      </c>
      <c r="B616" t="s">
        <v>14</v>
      </c>
    </row>
    <row r="617" spans="1:4" x14ac:dyDescent="0.25">
      <c r="A617" t="str">
        <f>T("   ZZZ_Monde")</f>
        <v xml:space="preserve">   ZZZ_Monde</v>
      </c>
      <c r="B617" t="str">
        <f>T("   ZZZ_Monde")</f>
        <v xml:space="preserve">   ZZZ_Monde</v>
      </c>
      <c r="C617">
        <v>500000</v>
      </c>
      <c r="D617">
        <v>10000</v>
      </c>
    </row>
    <row r="618" spans="1:4" x14ac:dyDescent="0.25">
      <c r="A618" t="str">
        <f>T("   CN")</f>
        <v xml:space="preserve">   CN</v>
      </c>
      <c r="B618" t="str">
        <f>T("   Chine")</f>
        <v xml:space="preserve">   Chine</v>
      </c>
      <c r="C618">
        <v>500000</v>
      </c>
      <c r="D618">
        <v>10000</v>
      </c>
    </row>
    <row r="619" spans="1:4" x14ac:dyDescent="0.25">
      <c r="A619" t="str">
        <f>T("441299")</f>
        <v>441299</v>
      </c>
      <c r="B619" t="str">
        <f>T("BOIS PLAQUÉS ET BOIS STRATIFIÉS SIMIL., SANS ÂME PANNEAUTÉE, LATTÉE OU LAMELLÉE (À L'EXCL. DE BAMBOO, DES BOIS CONTRE-PLAQUÉS CONSTITUÉS EXCLUSIVEMENT DE FEUILLES DE BOIS DONT CHACUNE A UNE ÉPAISSEUR &lt;= 6 MM, DES PANNEAUX EN BOIS DITS 'DENSIFIÉS', DES PAN")</f>
        <v>BOIS PLAQUÉS ET BOIS STRATIFIÉS SIMIL., SANS ÂME PANNEAUTÉE, LATTÉE OU LAMELLÉE (À L'EXCL. DE BAMBOO, DES BOIS CONTRE-PLAQUÉS CONSTITUÉS EXCLUSIVEMENT DE FEUILLES DE BOIS DONT CHACUNE A UNE ÉPAISSEUR &lt;= 6 MM, DES PANNEAUX EN BOIS DITS 'DENSIFIÉS', DES PAN</v>
      </c>
    </row>
    <row r="620" spans="1:4" x14ac:dyDescent="0.25">
      <c r="A620" t="str">
        <f>T("   ZZZ_Monde")</f>
        <v xml:space="preserve">   ZZZ_Monde</v>
      </c>
      <c r="B620" t="str">
        <f>T("   ZZZ_Monde")</f>
        <v xml:space="preserve">   ZZZ_Monde</v>
      </c>
      <c r="C620">
        <v>12720000</v>
      </c>
      <c r="D620">
        <v>254400</v>
      </c>
    </row>
    <row r="621" spans="1:4" x14ac:dyDescent="0.25">
      <c r="A621" t="str">
        <f>T("   CN")</f>
        <v xml:space="preserve">   CN</v>
      </c>
      <c r="B621" t="str">
        <f>T("   Chine")</f>
        <v xml:space="preserve">   Chine</v>
      </c>
      <c r="C621">
        <v>8720000</v>
      </c>
      <c r="D621">
        <v>174400</v>
      </c>
    </row>
    <row r="622" spans="1:4" x14ac:dyDescent="0.25">
      <c r="A622" t="str">
        <f>T("   IN")</f>
        <v xml:space="preserve">   IN</v>
      </c>
      <c r="B622" t="str">
        <f>T("   Inde")</f>
        <v xml:space="preserve">   Inde</v>
      </c>
      <c r="C622">
        <v>4000000</v>
      </c>
      <c r="D622">
        <v>80000</v>
      </c>
    </row>
    <row r="623" spans="1:4" x14ac:dyDescent="0.25">
      <c r="A623" t="str">
        <f>T("441300")</f>
        <v>441300</v>
      </c>
      <c r="B623" t="str">
        <f>T("Bois dits 'densifiés', en blocs, planches, lames ou profilés")</f>
        <v>Bois dits 'densifiés', en blocs, planches, lames ou profilés</v>
      </c>
    </row>
    <row r="624" spans="1:4" x14ac:dyDescent="0.25">
      <c r="A624" t="str">
        <f>T("   ZZZ_Monde")</f>
        <v xml:space="preserve">   ZZZ_Monde</v>
      </c>
      <c r="B624" t="str">
        <f>T("   ZZZ_Monde")</f>
        <v xml:space="preserve">   ZZZ_Monde</v>
      </c>
      <c r="C624">
        <v>1596757</v>
      </c>
      <c r="D624">
        <v>5768</v>
      </c>
    </row>
    <row r="625" spans="1:4" x14ac:dyDescent="0.25">
      <c r="A625" t="str">
        <f>T("   CI")</f>
        <v xml:space="preserve">   CI</v>
      </c>
      <c r="B625" t="str">
        <f>T("   Côte d'Ivoire")</f>
        <v xml:space="preserve">   Côte d'Ivoire</v>
      </c>
      <c r="C625">
        <v>1596757</v>
      </c>
      <c r="D625">
        <v>5768</v>
      </c>
    </row>
    <row r="626" spans="1:4" x14ac:dyDescent="0.25">
      <c r="A626" t="str">
        <f>T("442010")</f>
        <v>442010</v>
      </c>
      <c r="B626" t="str">
        <f>T("Statuettes et autres objets d'ornement, en bois (autres que marquetés ou incrustés)")</f>
        <v>Statuettes et autres objets d'ornement, en bois (autres que marquetés ou incrustés)</v>
      </c>
    </row>
    <row r="627" spans="1:4" x14ac:dyDescent="0.25">
      <c r="A627" t="str">
        <f>T("   ZZZ_Monde")</f>
        <v xml:space="preserve">   ZZZ_Monde</v>
      </c>
      <c r="B627" t="str">
        <f>T("   ZZZ_Monde")</f>
        <v xml:space="preserve">   ZZZ_Monde</v>
      </c>
      <c r="C627">
        <v>350000</v>
      </c>
      <c r="D627">
        <v>782</v>
      </c>
    </row>
    <row r="628" spans="1:4" x14ac:dyDescent="0.25">
      <c r="A628" t="str">
        <f>T("   FR")</f>
        <v xml:space="preserve">   FR</v>
      </c>
      <c r="B628" t="str">
        <f>T("   France")</f>
        <v xml:space="preserve">   France</v>
      </c>
      <c r="C628">
        <v>150000</v>
      </c>
      <c r="D628">
        <v>92</v>
      </c>
    </row>
    <row r="629" spans="1:4" x14ac:dyDescent="0.25">
      <c r="A629" t="str">
        <f>T("   GB")</f>
        <v xml:space="preserve">   GB</v>
      </c>
      <c r="B629" t="str">
        <f>T("   Royaume-Uni")</f>
        <v xml:space="preserve">   Royaume-Uni</v>
      </c>
      <c r="C629">
        <v>200000</v>
      </c>
      <c r="D629">
        <v>690</v>
      </c>
    </row>
    <row r="630" spans="1:4" x14ac:dyDescent="0.25">
      <c r="A630" t="str">
        <f>T("442190")</f>
        <v>442190</v>
      </c>
      <c r="B630" t="str">
        <f>T("Ouvrages, en bois, n.d.a.")</f>
        <v>Ouvrages, en bois, n.d.a.</v>
      </c>
    </row>
    <row r="631" spans="1:4" x14ac:dyDescent="0.25">
      <c r="A631" t="str">
        <f>T("   ZZZ_Monde")</f>
        <v xml:space="preserve">   ZZZ_Monde</v>
      </c>
      <c r="B631" t="str">
        <f>T("   ZZZ_Monde")</f>
        <v xml:space="preserve">   ZZZ_Monde</v>
      </c>
      <c r="C631">
        <v>439247521</v>
      </c>
      <c r="D631">
        <v>2715958</v>
      </c>
    </row>
    <row r="632" spans="1:4" x14ac:dyDescent="0.25">
      <c r="A632" t="str">
        <f>T("   GB")</f>
        <v xml:space="preserve">   GB</v>
      </c>
      <c r="B632" t="str">
        <f>T("   Royaume-Uni")</f>
        <v xml:space="preserve">   Royaume-Uni</v>
      </c>
      <c r="C632">
        <v>824341</v>
      </c>
      <c r="D632">
        <v>158</v>
      </c>
    </row>
    <row r="633" spans="1:4" x14ac:dyDescent="0.25">
      <c r="A633" t="str">
        <f>T("   IN")</f>
        <v xml:space="preserve">   IN</v>
      </c>
      <c r="B633" t="str">
        <f>T("   Inde")</f>
        <v xml:space="preserve">   Inde</v>
      </c>
      <c r="C633">
        <v>438048180</v>
      </c>
      <c r="D633">
        <v>2715000</v>
      </c>
    </row>
    <row r="634" spans="1:4" x14ac:dyDescent="0.25">
      <c r="A634" t="str">
        <f>T("   TG")</f>
        <v xml:space="preserve">   TG</v>
      </c>
      <c r="B634" t="str">
        <f>T("   Togo")</f>
        <v xml:space="preserve">   Togo</v>
      </c>
      <c r="C634">
        <v>375000</v>
      </c>
      <c r="D634">
        <v>800</v>
      </c>
    </row>
    <row r="635" spans="1:4" x14ac:dyDescent="0.25">
      <c r="A635" t="str">
        <f>T("460210")</f>
        <v>460210</v>
      </c>
      <c r="B635" t="str">
        <f>T("Ouvrages de vannerie obtenus directement en forme à partir de matières à tresser végétales ou confectionnés à l'aide des matières à tresser végétales du n° 4601; ouvrages en luffa (sauf revêtements muraux du n° 4814, ficelles, cordes et cordages, chaussur")</f>
        <v>Ouvrages de vannerie obtenus directement en forme à partir de matières à tresser végétales ou confectionnés à l'aide des matières à tresser végétales du n° 4601; ouvrages en luffa (sauf revêtements muraux du n° 4814, ficelles, cordes et cordages, chaussur</v>
      </c>
    </row>
    <row r="636" spans="1:4" x14ac:dyDescent="0.25">
      <c r="A636" t="str">
        <f>T("   ZZZ_Monde")</f>
        <v xml:space="preserve">   ZZZ_Monde</v>
      </c>
      <c r="B636" t="str">
        <f>T("   ZZZ_Monde")</f>
        <v xml:space="preserve">   ZZZ_Monde</v>
      </c>
      <c r="C636">
        <v>363400000</v>
      </c>
      <c r="D636">
        <v>1374500</v>
      </c>
    </row>
    <row r="637" spans="1:4" x14ac:dyDescent="0.25">
      <c r="A637" t="str">
        <f>T("   CH")</f>
        <v xml:space="preserve">   CH</v>
      </c>
      <c r="B637" t="str">
        <f>T("   Suisse")</f>
        <v xml:space="preserve">   Suisse</v>
      </c>
      <c r="C637">
        <v>85900000</v>
      </c>
      <c r="D637">
        <v>354500</v>
      </c>
    </row>
    <row r="638" spans="1:4" x14ac:dyDescent="0.25">
      <c r="A638" t="str">
        <f>T("   CN")</f>
        <v xml:space="preserve">   CN</v>
      </c>
      <c r="B638" t="str">
        <f>T("   Chine")</f>
        <v xml:space="preserve">   Chine</v>
      </c>
      <c r="C638">
        <v>69000000</v>
      </c>
      <c r="D638">
        <v>270000</v>
      </c>
    </row>
    <row r="639" spans="1:4" x14ac:dyDescent="0.25">
      <c r="A639" t="str">
        <f>T("   DE")</f>
        <v xml:space="preserve">   DE</v>
      </c>
      <c r="B639" t="str">
        <f>T("   Allemagne")</f>
        <v xml:space="preserve">   Allemagne</v>
      </c>
      <c r="C639">
        <v>500000</v>
      </c>
      <c r="D639">
        <v>10000</v>
      </c>
    </row>
    <row r="640" spans="1:4" x14ac:dyDescent="0.25">
      <c r="A640" t="str">
        <f>T("   IN")</f>
        <v xml:space="preserve">   IN</v>
      </c>
      <c r="B640" t="str">
        <f>T("   Inde")</f>
        <v xml:space="preserve">   Inde</v>
      </c>
      <c r="C640">
        <v>208000000</v>
      </c>
      <c r="D640">
        <v>740000</v>
      </c>
    </row>
    <row r="641" spans="1:4" x14ac:dyDescent="0.25">
      <c r="A641" t="str">
        <f>T("481910")</f>
        <v>481910</v>
      </c>
      <c r="B641" t="str">
        <f>T("Boîtes et caisses en papier ou en carton ondulé")</f>
        <v>Boîtes et caisses en papier ou en carton ondulé</v>
      </c>
    </row>
    <row r="642" spans="1:4" x14ac:dyDescent="0.25">
      <c r="A642" t="str">
        <f>T("   ZZZ_Monde")</f>
        <v xml:space="preserve">   ZZZ_Monde</v>
      </c>
      <c r="B642" t="str">
        <f>T("   ZZZ_Monde")</f>
        <v xml:space="preserve">   ZZZ_Monde</v>
      </c>
      <c r="C642">
        <v>7770854</v>
      </c>
      <c r="D642">
        <v>14280</v>
      </c>
    </row>
    <row r="643" spans="1:4" x14ac:dyDescent="0.25">
      <c r="A643" t="str">
        <f>T("   BF")</f>
        <v xml:space="preserve">   BF</v>
      </c>
      <c r="B643" t="str">
        <f>T("   Burkina Faso")</f>
        <v xml:space="preserve">   Burkina Faso</v>
      </c>
      <c r="C643">
        <v>3515199</v>
      </c>
      <c r="D643">
        <v>4488</v>
      </c>
    </row>
    <row r="644" spans="1:4" x14ac:dyDescent="0.25">
      <c r="A644" t="str">
        <f>T("   ML")</f>
        <v xml:space="preserve">   ML</v>
      </c>
      <c r="B644" t="str">
        <f>T("   Mali")</f>
        <v xml:space="preserve">   Mali</v>
      </c>
      <c r="C644">
        <v>1369100</v>
      </c>
      <c r="D644">
        <v>2160</v>
      </c>
    </row>
    <row r="645" spans="1:4" x14ac:dyDescent="0.25">
      <c r="A645" t="str">
        <f>T("   NE")</f>
        <v xml:space="preserve">   NE</v>
      </c>
      <c r="B645" t="str">
        <f>T("   Niger")</f>
        <v xml:space="preserve">   Niger</v>
      </c>
      <c r="C645">
        <v>1034541</v>
      </c>
      <c r="D645">
        <v>2033</v>
      </c>
    </row>
    <row r="646" spans="1:4" x14ac:dyDescent="0.25">
      <c r="A646" t="str">
        <f>T("   SN")</f>
        <v xml:space="preserve">   SN</v>
      </c>
      <c r="B646" t="str">
        <f>T("   Sénégal")</f>
        <v xml:space="preserve">   Sénégal</v>
      </c>
      <c r="C646">
        <v>1852014</v>
      </c>
      <c r="D646">
        <v>5599</v>
      </c>
    </row>
    <row r="647" spans="1:4" x14ac:dyDescent="0.25">
      <c r="A647" t="str">
        <f>T("481920")</f>
        <v>481920</v>
      </c>
      <c r="B647" t="str">
        <f>T("Boîtes et cartonnages, pliants, en papier ou en carton non ondulé")</f>
        <v>Boîtes et cartonnages, pliants, en papier ou en carton non ondulé</v>
      </c>
    </row>
    <row r="648" spans="1:4" x14ac:dyDescent="0.25">
      <c r="A648" t="str">
        <f>T("   ZZZ_Monde")</f>
        <v xml:space="preserve">   ZZZ_Monde</v>
      </c>
      <c r="B648" t="str">
        <f>T("   ZZZ_Monde")</f>
        <v xml:space="preserve">   ZZZ_Monde</v>
      </c>
      <c r="C648">
        <v>6695713</v>
      </c>
      <c r="D648">
        <v>24252</v>
      </c>
    </row>
    <row r="649" spans="1:4" x14ac:dyDescent="0.25">
      <c r="A649" t="str">
        <f>T("   BF")</f>
        <v xml:space="preserve">   BF</v>
      </c>
      <c r="B649" t="str">
        <f>T("   Burkina Faso")</f>
        <v xml:space="preserve">   Burkina Faso</v>
      </c>
      <c r="C649">
        <v>121405</v>
      </c>
      <c r="D649">
        <v>150</v>
      </c>
    </row>
    <row r="650" spans="1:4" x14ac:dyDescent="0.25">
      <c r="A650" t="str">
        <f>T("   GH")</f>
        <v xml:space="preserve">   GH</v>
      </c>
      <c r="B650" t="str">
        <f>T("   Ghana")</f>
        <v xml:space="preserve">   Ghana</v>
      </c>
      <c r="C650">
        <v>6194400</v>
      </c>
      <c r="D650">
        <v>23632</v>
      </c>
    </row>
    <row r="651" spans="1:4" x14ac:dyDescent="0.25">
      <c r="A651" t="str">
        <f>T("   ML")</f>
        <v xml:space="preserve">   ML</v>
      </c>
      <c r="B651" t="str">
        <f>T("   Mali")</f>
        <v xml:space="preserve">   Mali</v>
      </c>
      <c r="C651">
        <v>313837</v>
      </c>
      <c r="D651">
        <v>388</v>
      </c>
    </row>
    <row r="652" spans="1:4" x14ac:dyDescent="0.25">
      <c r="A652" t="str">
        <f>T("   NE")</f>
        <v xml:space="preserve">   NE</v>
      </c>
      <c r="B652" t="str">
        <f>T("   Niger")</f>
        <v xml:space="preserve">   Niger</v>
      </c>
      <c r="C652">
        <v>66071</v>
      </c>
      <c r="D652">
        <v>82</v>
      </c>
    </row>
    <row r="653" spans="1:4" x14ac:dyDescent="0.25">
      <c r="A653" t="str">
        <f>T("481940")</f>
        <v>481940</v>
      </c>
      <c r="B653" t="str">
        <f>T("Sacs, sachets, pochettes et cornets, en papier, carton, ouate de cellulose ou nappes de fibres de cellulose (à l'excl. des pochettes pour disques et des sacs d'une largeur à la base &gt;= 40 cm)")</f>
        <v>Sacs, sachets, pochettes et cornets, en papier, carton, ouate de cellulose ou nappes de fibres de cellulose (à l'excl. des pochettes pour disques et des sacs d'une largeur à la base &gt;= 40 cm)</v>
      </c>
    </row>
    <row r="654" spans="1:4" x14ac:dyDescent="0.25">
      <c r="A654" t="str">
        <f>T("   ZZZ_Monde")</f>
        <v xml:space="preserve">   ZZZ_Monde</v>
      </c>
      <c r="B654" t="str">
        <f>T("   ZZZ_Monde")</f>
        <v xml:space="preserve">   ZZZ_Monde</v>
      </c>
      <c r="C654">
        <v>3712734</v>
      </c>
      <c r="D654">
        <v>105</v>
      </c>
    </row>
    <row r="655" spans="1:4" x14ac:dyDescent="0.25">
      <c r="A655" t="str">
        <f>T("   FR")</f>
        <v xml:space="preserve">   FR</v>
      </c>
      <c r="B655" t="str">
        <f>T("   France")</f>
        <v xml:space="preserve">   France</v>
      </c>
      <c r="C655">
        <v>3712734</v>
      </c>
      <c r="D655">
        <v>105</v>
      </c>
    </row>
    <row r="656" spans="1:4" x14ac:dyDescent="0.25">
      <c r="A656" t="str">
        <f>T("481960")</f>
        <v>481960</v>
      </c>
      <c r="B656" t="str">
        <f>T("Cartonnages de bureau, de magasin ou simil., rigides (à l'excl. des emballages)")</f>
        <v>Cartonnages de bureau, de magasin ou simil., rigides (à l'excl. des emballages)</v>
      </c>
    </row>
    <row r="657" spans="1:4" x14ac:dyDescent="0.25">
      <c r="A657" t="str">
        <f>T("   ZZZ_Monde")</f>
        <v xml:space="preserve">   ZZZ_Monde</v>
      </c>
      <c r="B657" t="str">
        <f>T("   ZZZ_Monde")</f>
        <v xml:space="preserve">   ZZZ_Monde</v>
      </c>
      <c r="C657">
        <v>146870386</v>
      </c>
      <c r="D657">
        <v>397130</v>
      </c>
    </row>
    <row r="658" spans="1:4" x14ac:dyDescent="0.25">
      <c r="A658" t="str">
        <f>T("   AO")</f>
        <v xml:space="preserve">   AO</v>
      </c>
      <c r="B658" t="str">
        <f>T("   Angola")</f>
        <v xml:space="preserve">   Angola</v>
      </c>
      <c r="C658">
        <v>584965</v>
      </c>
      <c r="D658">
        <v>1625</v>
      </c>
    </row>
    <row r="659" spans="1:4" x14ac:dyDescent="0.25">
      <c r="A659" t="str">
        <f>T("   BF")</f>
        <v xml:space="preserve">   BF</v>
      </c>
      <c r="B659" t="str">
        <f>T("   Burkina Faso")</f>
        <v xml:space="preserve">   Burkina Faso</v>
      </c>
      <c r="C659">
        <v>3224568</v>
      </c>
      <c r="D659">
        <v>3812</v>
      </c>
    </row>
    <row r="660" spans="1:4" x14ac:dyDescent="0.25">
      <c r="A660" t="str">
        <f>T("   NE")</f>
        <v xml:space="preserve">   NE</v>
      </c>
      <c r="B660" t="str">
        <f>T("   Niger")</f>
        <v xml:space="preserve">   Niger</v>
      </c>
      <c r="C660">
        <v>39392887</v>
      </c>
      <c r="D660">
        <v>74747</v>
      </c>
    </row>
    <row r="661" spans="1:4" x14ac:dyDescent="0.25">
      <c r="A661" t="str">
        <f>T("   NG")</f>
        <v xml:space="preserve">   NG</v>
      </c>
      <c r="B661" t="str">
        <f>T("   Nigéria")</f>
        <v xml:space="preserve">   Nigéria</v>
      </c>
      <c r="C661">
        <v>75647437</v>
      </c>
      <c r="D661">
        <v>282843</v>
      </c>
    </row>
    <row r="662" spans="1:4" x14ac:dyDescent="0.25">
      <c r="A662" t="str">
        <f>T("   TG")</f>
        <v xml:space="preserve">   TG</v>
      </c>
      <c r="B662" t="str">
        <f>T("   Togo")</f>
        <v xml:space="preserve">   Togo</v>
      </c>
      <c r="C662">
        <v>28020529</v>
      </c>
      <c r="D662">
        <v>34103</v>
      </c>
    </row>
    <row r="663" spans="1:4" x14ac:dyDescent="0.25">
      <c r="A663" t="str">
        <f>T("482020")</f>
        <v>482020</v>
      </c>
      <c r="B663" t="str">
        <f>T("Cahiers pour l'écriture, en papier ou carton")</f>
        <v>Cahiers pour l'écriture, en papier ou carton</v>
      </c>
    </row>
    <row r="664" spans="1:4" x14ac:dyDescent="0.25">
      <c r="A664" t="str">
        <f>T("   ZZZ_Monde")</f>
        <v xml:space="preserve">   ZZZ_Monde</v>
      </c>
      <c r="B664" t="str">
        <f>T("   ZZZ_Monde")</f>
        <v xml:space="preserve">   ZZZ_Monde</v>
      </c>
      <c r="C664">
        <v>3520000</v>
      </c>
      <c r="D664">
        <v>10200</v>
      </c>
    </row>
    <row r="665" spans="1:4" x14ac:dyDescent="0.25">
      <c r="A665" t="str">
        <f>T("   NE")</f>
        <v xml:space="preserve">   NE</v>
      </c>
      <c r="B665" t="str">
        <f>T("   Niger")</f>
        <v xml:space="preserve">   Niger</v>
      </c>
      <c r="C665">
        <v>3520000</v>
      </c>
      <c r="D665">
        <v>10200</v>
      </c>
    </row>
    <row r="666" spans="1:4" x14ac:dyDescent="0.25">
      <c r="A666" t="str">
        <f>T("482390")</f>
        <v>482390</v>
      </c>
      <c r="B666" t="str">
        <f>T("PAPIERS, CARTONS, OUATE DE CELLULOSE ET NAPPES DE FIBRES DE CELLULOSE, EN BANDES OU EN ROULEAUX D'UNE LARGEUR &lt;= 36 CM OU EN FEUILLES DE FORME CARRÉE OU RECTANGULAIRE DONT AUCUN CÔTÉ &gt; 36 CM À L'ÉTAT NON-PLIÉ, OU DÉCOUPÉS DE FORME AUTRE QUE CARRÉE OU RECT")</f>
        <v>PAPIERS, CARTONS, OUATE DE CELLULOSE ET NAPPES DE FIBRES DE CELLULOSE, EN BANDES OU EN ROULEAUX D'UNE LARGEUR &lt;= 36 CM OU EN FEUILLES DE FORME CARRÉE OU RECTANGULAIRE DONT AUCUN CÔTÉ &gt; 36 CM À L'ÉTAT NON-PLIÉ, OU DÉCOUPÉS DE FORME AUTRE QUE CARRÉE OU RECT</v>
      </c>
    </row>
    <row r="667" spans="1:4" x14ac:dyDescent="0.25">
      <c r="A667" t="str">
        <f>T("   ZZZ_Monde")</f>
        <v xml:space="preserve">   ZZZ_Monde</v>
      </c>
      <c r="B667" t="str">
        <f>T("   ZZZ_Monde")</f>
        <v xml:space="preserve">   ZZZ_Monde</v>
      </c>
      <c r="C667">
        <v>26000000</v>
      </c>
      <c r="D667">
        <v>260000</v>
      </c>
    </row>
    <row r="668" spans="1:4" x14ac:dyDescent="0.25">
      <c r="A668" t="str">
        <f>T("   CN")</f>
        <v xml:space="preserve">   CN</v>
      </c>
      <c r="B668" t="str">
        <f>T("   Chine")</f>
        <v xml:space="preserve">   Chine</v>
      </c>
      <c r="C668">
        <v>26000000</v>
      </c>
      <c r="D668">
        <v>260000</v>
      </c>
    </row>
    <row r="669" spans="1:4" x14ac:dyDescent="0.25">
      <c r="A669" t="str">
        <f>T("490110")</f>
        <v>490110</v>
      </c>
      <c r="B669" t="str">
        <f>T("Livres, brochures et imprimés simil., en feuillets isolés, même pliés (à l'excl. des publications périodiques et des publications à usages principalement publicitaires)")</f>
        <v>Livres, brochures et imprimés simil., en feuillets isolés, même pliés (à l'excl. des publications périodiques et des publications à usages principalement publicitaires)</v>
      </c>
    </row>
    <row r="670" spans="1:4" x14ac:dyDescent="0.25">
      <c r="A670" t="str">
        <f>T("   ZZZ_Monde")</f>
        <v xml:space="preserve">   ZZZ_Monde</v>
      </c>
      <c r="B670" t="str">
        <f>T("   ZZZ_Monde")</f>
        <v xml:space="preserve">   ZZZ_Monde</v>
      </c>
      <c r="C670">
        <v>5000000</v>
      </c>
      <c r="D670">
        <v>50000</v>
      </c>
    </row>
    <row r="671" spans="1:4" x14ac:dyDescent="0.25">
      <c r="A671" t="str">
        <f>T("   CN")</f>
        <v xml:space="preserve">   CN</v>
      </c>
      <c r="B671" t="str">
        <f>T("   Chine")</f>
        <v xml:space="preserve">   Chine</v>
      </c>
      <c r="C671">
        <v>5000000</v>
      </c>
      <c r="D671">
        <v>50000</v>
      </c>
    </row>
    <row r="672" spans="1:4" x14ac:dyDescent="0.25">
      <c r="A672" t="str">
        <f>T("490199")</f>
        <v>490199</v>
      </c>
      <c r="B672" t="str">
        <f>T("Livres, brochures et imprimés simil. (à l'excl. des produits en feuillets isolés, des dictionnaires et encyclopédies, même en fascicules, des publications périodiques ainsi que des publications à usages principalement publicitaires)")</f>
        <v>Livres, brochures et imprimés simil. (à l'excl. des produits en feuillets isolés, des dictionnaires et encyclopédies, même en fascicules, des publications périodiques ainsi que des publications à usages principalement publicitaires)</v>
      </c>
    </row>
    <row r="673" spans="1:4" x14ac:dyDescent="0.25">
      <c r="A673" t="str">
        <f>T("   ZZZ_Monde")</f>
        <v xml:space="preserve">   ZZZ_Monde</v>
      </c>
      <c r="B673" t="str">
        <f>T("   ZZZ_Monde")</f>
        <v xml:space="preserve">   ZZZ_Monde</v>
      </c>
      <c r="C673">
        <v>147900000</v>
      </c>
      <c r="D673">
        <v>117784</v>
      </c>
    </row>
    <row r="674" spans="1:4" x14ac:dyDescent="0.25">
      <c r="A674" t="str">
        <f>T("   BE")</f>
        <v xml:space="preserve">   BE</v>
      </c>
      <c r="B674" t="str">
        <f>T("   Belgique")</f>
        <v xml:space="preserve">   Belgique</v>
      </c>
      <c r="C674">
        <v>500000</v>
      </c>
      <c r="D674">
        <v>500</v>
      </c>
    </row>
    <row r="675" spans="1:4" x14ac:dyDescent="0.25">
      <c r="A675" t="str">
        <f>T("   BF")</f>
        <v xml:space="preserve">   BF</v>
      </c>
      <c r="B675" t="str">
        <f>T("   Burkina Faso")</f>
        <v xml:space="preserve">   Burkina Faso</v>
      </c>
      <c r="C675">
        <v>142950000</v>
      </c>
      <c r="D675">
        <v>102065</v>
      </c>
    </row>
    <row r="676" spans="1:4" x14ac:dyDescent="0.25">
      <c r="A676" t="str">
        <f>T("   BR")</f>
        <v xml:space="preserve">   BR</v>
      </c>
      <c r="B676" t="str">
        <f>T("   Brésil")</f>
        <v xml:space="preserve">   Brésil</v>
      </c>
      <c r="C676">
        <v>550000</v>
      </c>
      <c r="D676">
        <v>700</v>
      </c>
    </row>
    <row r="677" spans="1:4" x14ac:dyDescent="0.25">
      <c r="A677" t="str">
        <f>T("   CD")</f>
        <v xml:space="preserve">   CD</v>
      </c>
      <c r="B677" t="str">
        <f>T("   Congo, République Démocratique")</f>
        <v xml:space="preserve">   Congo, République Démocratique</v>
      </c>
      <c r="C677">
        <v>200000</v>
      </c>
      <c r="D677">
        <v>200</v>
      </c>
    </row>
    <row r="678" spans="1:4" x14ac:dyDescent="0.25">
      <c r="A678" t="str">
        <f>T("   DE")</f>
        <v xml:space="preserve">   DE</v>
      </c>
      <c r="B678" t="str">
        <f>T("   Allemagne")</f>
        <v xml:space="preserve">   Allemagne</v>
      </c>
      <c r="C678">
        <v>500000</v>
      </c>
      <c r="D678">
        <v>10000</v>
      </c>
    </row>
    <row r="679" spans="1:4" x14ac:dyDescent="0.25">
      <c r="A679" t="str">
        <f>T("   DJ")</f>
        <v xml:space="preserve">   DJ</v>
      </c>
      <c r="B679" t="str">
        <f>T("   Djibouti")</f>
        <v xml:space="preserve">   Djibouti</v>
      </c>
      <c r="C679">
        <v>2500000</v>
      </c>
      <c r="D679">
        <v>3119</v>
      </c>
    </row>
    <row r="680" spans="1:4" x14ac:dyDescent="0.25">
      <c r="A680" t="str">
        <f>T("   ID")</f>
        <v xml:space="preserve">   ID</v>
      </c>
      <c r="B680" t="str">
        <f>T("   Indonésie")</f>
        <v xml:space="preserve">   Indonésie</v>
      </c>
      <c r="C680">
        <v>300000</v>
      </c>
      <c r="D680">
        <v>500</v>
      </c>
    </row>
    <row r="681" spans="1:4" x14ac:dyDescent="0.25">
      <c r="A681" t="str">
        <f>T("   MZ")</f>
        <v xml:space="preserve">   MZ</v>
      </c>
      <c r="B681" t="str">
        <f>T("   Mozambique")</f>
        <v xml:space="preserve">   Mozambique</v>
      </c>
      <c r="C681">
        <v>200000</v>
      </c>
      <c r="D681">
        <v>400</v>
      </c>
    </row>
    <row r="682" spans="1:4" x14ac:dyDescent="0.25">
      <c r="A682" t="str">
        <f>T("   NL")</f>
        <v xml:space="preserve">   NL</v>
      </c>
      <c r="B682" t="str">
        <f>T("   Pays-bas")</f>
        <v xml:space="preserve">   Pays-bas</v>
      </c>
      <c r="C682">
        <v>200000</v>
      </c>
      <c r="D682">
        <v>300</v>
      </c>
    </row>
    <row r="683" spans="1:4" x14ac:dyDescent="0.25">
      <c r="A683" t="str">
        <f>T("490700")</f>
        <v>490700</v>
      </c>
      <c r="B683" t="str">
        <f>T("TIMBRES-POSTE, TIMBRES FISCAUX ET ANALOGUES, NON-OBLITÉRÉS, AYANT COURS OU DESTINÉS À AVOIR COURS DANS LE PAYS DANS LEQUEL ILS ONT,  OU AURONT, UNE VALEUR FACIALE RECONNUE; PAPIER TIMBRÉ; BILLETS DE BANQUE; CHÈQUES; TITRES D'ACTIONS OU D'OBLIGATIONS ET TI")</f>
        <v>TIMBRES-POSTE, TIMBRES FISCAUX ET ANALOGUES, NON-OBLITÉRÉS, AYANT COURS OU DESTINÉS À AVOIR COURS DANS LE PAYS DANS LEQUEL ILS ONT,  OU AURONT, UNE VALEUR FACIALE RECONNUE; PAPIER TIMBRÉ; BILLETS DE BANQUE; CHÈQUES; TITRES D'ACTIONS OU D'OBLIGATIONS ET TI</v>
      </c>
    </row>
    <row r="684" spans="1:4" x14ac:dyDescent="0.25">
      <c r="A684" t="str">
        <f>T("   ZZZ_Monde")</f>
        <v xml:space="preserve">   ZZZ_Monde</v>
      </c>
      <c r="B684" t="str">
        <f>T("   ZZZ_Monde")</f>
        <v xml:space="preserve">   ZZZ_Monde</v>
      </c>
      <c r="C684">
        <v>184000000</v>
      </c>
      <c r="D684">
        <v>87226</v>
      </c>
    </row>
    <row r="685" spans="1:4" x14ac:dyDescent="0.25">
      <c r="A685" t="str">
        <f>T("   BF")</f>
        <v xml:space="preserve">   BF</v>
      </c>
      <c r="B685" t="str">
        <f>T("   Burkina Faso")</f>
        <v xml:space="preserve">   Burkina Faso</v>
      </c>
      <c r="C685">
        <v>17600000</v>
      </c>
      <c r="D685">
        <v>8122</v>
      </c>
    </row>
    <row r="686" spans="1:4" x14ac:dyDescent="0.25">
      <c r="A686" t="str">
        <f>T("   CI")</f>
        <v xml:space="preserve">   CI</v>
      </c>
      <c r="B686" t="str">
        <f>T("   Côte d'Ivoire")</f>
        <v xml:space="preserve">   Côte d'Ivoire</v>
      </c>
      <c r="C686">
        <v>34600000</v>
      </c>
      <c r="D686">
        <v>16453</v>
      </c>
    </row>
    <row r="687" spans="1:4" x14ac:dyDescent="0.25">
      <c r="A687" t="str">
        <f>T("   FR")</f>
        <v xml:space="preserve">   FR</v>
      </c>
      <c r="B687" t="str">
        <f>T("   France")</f>
        <v xml:space="preserve">   France</v>
      </c>
      <c r="C687">
        <v>93200000</v>
      </c>
      <c r="D687">
        <v>44630</v>
      </c>
    </row>
    <row r="688" spans="1:4" x14ac:dyDescent="0.25">
      <c r="A688" t="str">
        <f>T("   NE")</f>
        <v xml:space="preserve">   NE</v>
      </c>
      <c r="B688" t="str">
        <f>T("   Niger")</f>
        <v xml:space="preserve">   Niger</v>
      </c>
      <c r="C688">
        <v>8300000</v>
      </c>
      <c r="D688">
        <v>3879</v>
      </c>
    </row>
    <row r="689" spans="1:4" x14ac:dyDescent="0.25">
      <c r="A689" t="str">
        <f>T("   TG")</f>
        <v xml:space="preserve">   TG</v>
      </c>
      <c r="B689" t="str">
        <f>T("   Togo")</f>
        <v xml:space="preserve">   Togo</v>
      </c>
      <c r="C689">
        <v>30300000</v>
      </c>
      <c r="D689">
        <v>14142</v>
      </c>
    </row>
    <row r="690" spans="1:4" x14ac:dyDescent="0.25">
      <c r="A690" t="str">
        <f>T("520100")</f>
        <v>520100</v>
      </c>
      <c r="B690" t="str">
        <f>T("COTON, NON-CARDÉ NI PEIGNÉ")</f>
        <v>COTON, NON-CARDÉ NI PEIGNÉ</v>
      </c>
    </row>
    <row r="691" spans="1:4" x14ac:dyDescent="0.25">
      <c r="A691" t="str">
        <f>T("   ZZZ_Monde")</f>
        <v xml:space="preserve">   ZZZ_Monde</v>
      </c>
      <c r="B691" t="str">
        <f>T("   ZZZ_Monde")</f>
        <v xml:space="preserve">   ZZZ_Monde</v>
      </c>
      <c r="C691">
        <v>64890312110</v>
      </c>
      <c r="D691">
        <v>72905591</v>
      </c>
    </row>
    <row r="692" spans="1:4" x14ac:dyDescent="0.25">
      <c r="A692" t="str">
        <f>T("   CM")</f>
        <v xml:space="preserve">   CM</v>
      </c>
      <c r="B692" t="str">
        <f>T("   Cameroun")</f>
        <v xml:space="preserve">   Cameroun</v>
      </c>
      <c r="C692">
        <v>101535104</v>
      </c>
      <c r="D692">
        <v>95785</v>
      </c>
    </row>
    <row r="693" spans="1:4" x14ac:dyDescent="0.25">
      <c r="A693" t="str">
        <f>T("   CN")</f>
        <v xml:space="preserve">   CN</v>
      </c>
      <c r="B693" t="str">
        <f>T("   Chine")</f>
        <v xml:space="preserve">   Chine</v>
      </c>
      <c r="C693">
        <v>47164457102</v>
      </c>
      <c r="D693">
        <v>54270772</v>
      </c>
    </row>
    <row r="694" spans="1:4" x14ac:dyDescent="0.25">
      <c r="A694" t="str">
        <f>T("   EG")</f>
        <v xml:space="preserve">   EG</v>
      </c>
      <c r="B694" t="str">
        <f>T("   Egypte")</f>
        <v xml:space="preserve">   Egypte</v>
      </c>
      <c r="C694">
        <v>468487885</v>
      </c>
      <c r="D694">
        <v>366004</v>
      </c>
    </row>
    <row r="695" spans="1:4" x14ac:dyDescent="0.25">
      <c r="A695" t="str">
        <f>T("   FR")</f>
        <v xml:space="preserve">   FR</v>
      </c>
      <c r="B695" t="str">
        <f>T("   France")</f>
        <v xml:space="preserve">   France</v>
      </c>
      <c r="C695">
        <v>148705674</v>
      </c>
      <c r="D695">
        <v>118063</v>
      </c>
    </row>
    <row r="696" spans="1:4" x14ac:dyDescent="0.25">
      <c r="A696" t="str">
        <f>T("   GB")</f>
        <v xml:space="preserve">   GB</v>
      </c>
      <c r="B696" t="str">
        <f>T("   Royaume-Uni")</f>
        <v xml:space="preserve">   Royaume-Uni</v>
      </c>
      <c r="C696">
        <v>132457977</v>
      </c>
      <c r="D696">
        <v>172809</v>
      </c>
    </row>
    <row r="697" spans="1:4" x14ac:dyDescent="0.25">
      <c r="A697" t="str">
        <f>T("   ID")</f>
        <v xml:space="preserve">   ID</v>
      </c>
      <c r="B697" t="str">
        <f>T("   Indonésie")</f>
        <v xml:space="preserve">   Indonésie</v>
      </c>
      <c r="C697">
        <v>697081312</v>
      </c>
      <c r="D697">
        <v>681552</v>
      </c>
    </row>
    <row r="698" spans="1:4" x14ac:dyDescent="0.25">
      <c r="A698" t="str">
        <f>T("   IN")</f>
        <v xml:space="preserve">   IN</v>
      </c>
      <c r="B698" t="str">
        <f>T("   Inde")</f>
        <v xml:space="preserve">   Inde</v>
      </c>
      <c r="C698">
        <v>838801765</v>
      </c>
      <c r="D698">
        <v>838534</v>
      </c>
    </row>
    <row r="699" spans="1:4" x14ac:dyDescent="0.25">
      <c r="A699" t="str">
        <f>T("   IT")</f>
        <v xml:space="preserve">   IT</v>
      </c>
      <c r="B699" t="str">
        <f>T("   Italie")</f>
        <v xml:space="preserve">   Italie</v>
      </c>
      <c r="C699">
        <v>111540285</v>
      </c>
      <c r="D699">
        <v>145803</v>
      </c>
    </row>
    <row r="700" spans="1:4" x14ac:dyDescent="0.25">
      <c r="A700" t="str">
        <f>T("   MY")</f>
        <v xml:space="preserve">   MY</v>
      </c>
      <c r="B700" t="str">
        <f>T("   Malaisie")</f>
        <v xml:space="preserve">   Malaisie</v>
      </c>
      <c r="C700">
        <v>13771745207</v>
      </c>
      <c r="D700">
        <v>14476875</v>
      </c>
    </row>
    <row r="701" spans="1:4" x14ac:dyDescent="0.25">
      <c r="A701" t="str">
        <f>T("   PT")</f>
        <v xml:space="preserve">   PT</v>
      </c>
      <c r="B701" t="str">
        <f>T("   Portugal")</f>
        <v xml:space="preserve">   Portugal</v>
      </c>
      <c r="C701">
        <v>114629260</v>
      </c>
      <c r="D701">
        <v>137175</v>
      </c>
    </row>
    <row r="702" spans="1:4" x14ac:dyDescent="0.25">
      <c r="A702" t="str">
        <f>T("   TH")</f>
        <v xml:space="preserve">   TH</v>
      </c>
      <c r="B702" t="str">
        <f>T("   Thaïlande")</f>
        <v xml:space="preserve">   Thaïlande</v>
      </c>
      <c r="C702">
        <v>647662295</v>
      </c>
      <c r="D702">
        <v>765601</v>
      </c>
    </row>
    <row r="703" spans="1:4" x14ac:dyDescent="0.25">
      <c r="A703" t="str">
        <f>T("   TW")</f>
        <v xml:space="preserve">   TW</v>
      </c>
      <c r="B703" t="str">
        <f>T("   Taïwan, Province de Chine")</f>
        <v xml:space="preserve">   Taïwan, Province de Chine</v>
      </c>
      <c r="C703">
        <v>49456760</v>
      </c>
      <c r="D703">
        <v>125660</v>
      </c>
    </row>
    <row r="704" spans="1:4" x14ac:dyDescent="0.25">
      <c r="A704" t="str">
        <f>T("   VN")</f>
        <v xml:space="preserve">   VN</v>
      </c>
      <c r="B704" t="str">
        <f>T("   Vietnam")</f>
        <v xml:space="preserve">   Vietnam</v>
      </c>
      <c r="C704">
        <v>643751484</v>
      </c>
      <c r="D704">
        <v>710958</v>
      </c>
    </row>
    <row r="705" spans="1:4" x14ac:dyDescent="0.25">
      <c r="A705" t="str">
        <f>T("520210")</f>
        <v>520210</v>
      </c>
      <c r="B705" t="str">
        <f>T("Déchets de fils de coton")</f>
        <v>Déchets de fils de coton</v>
      </c>
    </row>
    <row r="706" spans="1:4" x14ac:dyDescent="0.25">
      <c r="A706" t="str">
        <f>T("   ZZZ_Monde")</f>
        <v xml:space="preserve">   ZZZ_Monde</v>
      </c>
      <c r="B706" t="str">
        <f>T("   ZZZ_Monde")</f>
        <v xml:space="preserve">   ZZZ_Monde</v>
      </c>
      <c r="C706">
        <v>500000</v>
      </c>
      <c r="D706">
        <v>60000</v>
      </c>
    </row>
    <row r="707" spans="1:4" x14ac:dyDescent="0.25">
      <c r="A707" t="str">
        <f>T("   CN")</f>
        <v xml:space="preserve">   CN</v>
      </c>
      <c r="B707" t="str">
        <f>T("   Chine")</f>
        <v xml:space="preserve">   Chine</v>
      </c>
      <c r="C707">
        <v>500000</v>
      </c>
      <c r="D707">
        <v>60000</v>
      </c>
    </row>
    <row r="708" spans="1:4" x14ac:dyDescent="0.25">
      <c r="A708" t="str">
        <f>T("520291")</f>
        <v>520291</v>
      </c>
      <c r="B708" t="str">
        <f>T("Effilochés de coton")</f>
        <v>Effilochés de coton</v>
      </c>
    </row>
    <row r="709" spans="1:4" x14ac:dyDescent="0.25">
      <c r="A709" t="str">
        <f>T("   ZZZ_Monde")</f>
        <v xml:space="preserve">   ZZZ_Monde</v>
      </c>
      <c r="B709" t="str">
        <f>T("   ZZZ_Monde")</f>
        <v xml:space="preserve">   ZZZ_Monde</v>
      </c>
      <c r="C709">
        <v>46724621</v>
      </c>
      <c r="D709">
        <v>109586</v>
      </c>
    </row>
    <row r="710" spans="1:4" x14ac:dyDescent="0.25">
      <c r="A710" t="str">
        <f>T("   PT")</f>
        <v xml:space="preserve">   PT</v>
      </c>
      <c r="B710" t="str">
        <f>T("   Portugal")</f>
        <v xml:space="preserve">   Portugal</v>
      </c>
      <c r="C710">
        <v>46724621</v>
      </c>
      <c r="D710">
        <v>109586</v>
      </c>
    </row>
    <row r="711" spans="1:4" x14ac:dyDescent="0.25">
      <c r="A711" t="str">
        <f>T("520512")</f>
        <v>520512</v>
      </c>
      <c r="B711" t="str">
        <f>T("Fils simples de coton, en fibres non peignées, contenant &gt;= 85% en poids de coton, titrant &gt;= 232,56 décitex mais &lt; 714,29 décitex [&gt; 14 numéros métriques mais &lt;= 43 numéros métriques] (sauf les fils à coudre et les fils conditionnés pour la vente au déta")</f>
        <v>Fils simples de coton, en fibres non peignées, contenant &gt;= 85% en poids de coton, titrant &gt;= 232,56 décitex mais &lt; 714,29 décitex [&gt; 14 numéros métriques mais &lt;= 43 numéros métriques] (sauf les fils à coudre et les fils conditionnés pour la vente au déta</v>
      </c>
    </row>
    <row r="712" spans="1:4" x14ac:dyDescent="0.25">
      <c r="A712" t="str">
        <f>T("   ZZZ_Monde")</f>
        <v xml:space="preserve">   ZZZ_Monde</v>
      </c>
      <c r="B712" t="str">
        <f>T("   ZZZ_Monde")</f>
        <v xml:space="preserve">   ZZZ_Monde</v>
      </c>
      <c r="C712">
        <v>348790985</v>
      </c>
      <c r="D712">
        <v>200500</v>
      </c>
    </row>
    <row r="713" spans="1:4" x14ac:dyDescent="0.25">
      <c r="A713" t="str">
        <f>T("   CN")</f>
        <v xml:space="preserve">   CN</v>
      </c>
      <c r="B713" t="str">
        <f>T("   Chine")</f>
        <v xml:space="preserve">   Chine</v>
      </c>
      <c r="C713">
        <v>348790985</v>
      </c>
      <c r="D713">
        <v>200500</v>
      </c>
    </row>
    <row r="714" spans="1:4" x14ac:dyDescent="0.25">
      <c r="A714" t="str">
        <f>T("520812")</f>
        <v>520812</v>
      </c>
      <c r="B714" t="str">
        <f>T("Tissus de coton, écrus, à armure toile, contenant &gt;= 85% en poids de coton, d'un poids &gt; 100 g/m² mais &lt;= 200 g/m²")</f>
        <v>Tissus de coton, écrus, à armure toile, contenant &gt;= 85% en poids de coton, d'un poids &gt; 100 g/m² mais &lt;= 200 g/m²</v>
      </c>
    </row>
    <row r="715" spans="1:4" x14ac:dyDescent="0.25">
      <c r="A715" t="str">
        <f>T("   ZZZ_Monde")</f>
        <v xml:space="preserve">   ZZZ_Monde</v>
      </c>
      <c r="B715" t="str">
        <f>T("   ZZZ_Monde")</f>
        <v xml:space="preserve">   ZZZ_Monde</v>
      </c>
      <c r="C715">
        <v>6441776443</v>
      </c>
      <c r="D715">
        <v>2393743</v>
      </c>
    </row>
    <row r="716" spans="1:4" x14ac:dyDescent="0.25">
      <c r="A716" t="str">
        <f>T("   CI")</f>
        <v xml:space="preserve">   CI</v>
      </c>
      <c r="B716" t="str">
        <f>T("   Côte d'Ivoire")</f>
        <v xml:space="preserve">   Côte d'Ivoire</v>
      </c>
      <c r="C716">
        <v>4564114800</v>
      </c>
      <c r="D716">
        <v>1597602</v>
      </c>
    </row>
    <row r="717" spans="1:4" x14ac:dyDescent="0.25">
      <c r="A717" t="str">
        <f>T("   GH")</f>
        <v xml:space="preserve">   GH</v>
      </c>
      <c r="B717" t="str">
        <f>T("   Ghana")</f>
        <v xml:space="preserve">   Ghana</v>
      </c>
      <c r="C717">
        <v>1430510843</v>
      </c>
      <c r="D717">
        <v>516150</v>
      </c>
    </row>
    <row r="718" spans="1:4" x14ac:dyDescent="0.25">
      <c r="A718" t="str">
        <f>T("   ML")</f>
        <v xml:space="preserve">   ML</v>
      </c>
      <c r="B718" t="str">
        <f>T("   Mali")</f>
        <v xml:space="preserve">   Mali</v>
      </c>
      <c r="C718">
        <v>237206400</v>
      </c>
      <c r="D718">
        <v>161450</v>
      </c>
    </row>
    <row r="719" spans="1:4" x14ac:dyDescent="0.25">
      <c r="A719" t="str">
        <f>T("   NE")</f>
        <v xml:space="preserve">   NE</v>
      </c>
      <c r="B719" t="str">
        <f>T("   Niger")</f>
        <v xml:space="preserve">   Niger</v>
      </c>
      <c r="C719">
        <v>200570000</v>
      </c>
      <c r="D719">
        <v>115186</v>
      </c>
    </row>
    <row r="720" spans="1:4" x14ac:dyDescent="0.25">
      <c r="A720" t="str">
        <f>T("   TG")</f>
        <v xml:space="preserve">   TG</v>
      </c>
      <c r="B720" t="str">
        <f>T("   Togo")</f>
        <v xml:space="preserve">   Togo</v>
      </c>
      <c r="C720">
        <v>9374400</v>
      </c>
      <c r="D720">
        <v>3355</v>
      </c>
    </row>
    <row r="721" spans="1:4" x14ac:dyDescent="0.25">
      <c r="A721" t="str">
        <f>T("520819")</f>
        <v>520819</v>
      </c>
      <c r="B721" t="str">
        <f>T("Tissus de coton, écrus, contenant &gt;= 85% en poids de coton, d'un poids &lt;= 200 g/m² (à l'excl. des tissus à armure toile ou à armure sergé [y.c. le croisé] d'un rapport d'armure &lt;= 4)")</f>
        <v>Tissus de coton, écrus, contenant &gt;= 85% en poids de coton, d'un poids &lt;= 200 g/m² (à l'excl. des tissus à armure toile ou à armure sergé [y.c. le croisé] d'un rapport d'armure &lt;= 4)</v>
      </c>
    </row>
    <row r="722" spans="1:4" x14ac:dyDescent="0.25">
      <c r="A722" t="str">
        <f>T("   ZZZ_Monde")</f>
        <v xml:space="preserve">   ZZZ_Monde</v>
      </c>
      <c r="B722" t="str">
        <f>T("   ZZZ_Monde")</f>
        <v xml:space="preserve">   ZZZ_Monde</v>
      </c>
      <c r="C722">
        <v>25200000</v>
      </c>
      <c r="D722">
        <v>14400</v>
      </c>
    </row>
    <row r="723" spans="1:4" x14ac:dyDescent="0.25">
      <c r="A723" t="str">
        <f>T("   NE")</f>
        <v xml:space="preserve">   NE</v>
      </c>
      <c r="B723" t="str">
        <f>T("   Niger")</f>
        <v xml:space="preserve">   Niger</v>
      </c>
      <c r="C723">
        <v>25200000</v>
      </c>
      <c r="D723">
        <v>14400</v>
      </c>
    </row>
    <row r="724" spans="1:4" x14ac:dyDescent="0.25">
      <c r="A724" t="str">
        <f>T("520852")</f>
        <v>520852</v>
      </c>
      <c r="B724" t="str">
        <f>T("Tissus de coton, imprimés, à armure toile, contenant &gt;= 85% en poids de coton, d'un poids &gt; 100 g/m² mais &lt;= 200 g/m²")</f>
        <v>Tissus de coton, imprimés, à armure toile, contenant &gt;= 85% en poids de coton, d'un poids &gt; 100 g/m² mais &lt;= 200 g/m²</v>
      </c>
    </row>
    <row r="725" spans="1:4" x14ac:dyDescent="0.25">
      <c r="A725" t="str">
        <f>T("   ZZZ_Monde")</f>
        <v xml:space="preserve">   ZZZ_Monde</v>
      </c>
      <c r="B725" t="str">
        <f>T("   ZZZ_Monde")</f>
        <v xml:space="preserve">   ZZZ_Monde</v>
      </c>
      <c r="C725">
        <v>15000000</v>
      </c>
      <c r="D725">
        <v>15000</v>
      </c>
    </row>
    <row r="726" spans="1:4" x14ac:dyDescent="0.25">
      <c r="A726" t="str">
        <f>T("   CG")</f>
        <v xml:space="preserve">   CG</v>
      </c>
      <c r="B726" t="str">
        <f>T("   Congo (Brazzaville)")</f>
        <v xml:space="preserve">   Congo (Brazzaville)</v>
      </c>
      <c r="C726">
        <v>15000000</v>
      </c>
      <c r="D726">
        <v>15000</v>
      </c>
    </row>
    <row r="727" spans="1:4" x14ac:dyDescent="0.25">
      <c r="A727" t="str">
        <f>T("520919")</f>
        <v>520919</v>
      </c>
      <c r="B727" t="str">
        <f>T("Tissus de coton, écrus, contenant &gt;= 85% en poids de coton, d'un poids &gt; 200 g/m² (à l'excl. des tissus à armure toile ou à armure sergé [y.c. le croisé] d'un rapport d'armure &lt;= 4)")</f>
        <v>Tissus de coton, écrus, contenant &gt;= 85% en poids de coton, d'un poids &gt; 200 g/m² (à l'excl. des tissus à armure toile ou à armure sergé [y.c. le croisé] d'un rapport d'armure &lt;= 4)</v>
      </c>
    </row>
    <row r="728" spans="1:4" x14ac:dyDescent="0.25">
      <c r="A728" t="str">
        <f>T("   ZZZ_Monde")</f>
        <v xml:space="preserve">   ZZZ_Monde</v>
      </c>
      <c r="B728" t="str">
        <f>T("   ZZZ_Monde")</f>
        <v xml:space="preserve">   ZZZ_Monde</v>
      </c>
      <c r="C728">
        <v>2000000</v>
      </c>
      <c r="D728">
        <v>726</v>
      </c>
    </row>
    <row r="729" spans="1:4" x14ac:dyDescent="0.25">
      <c r="A729" t="str">
        <f>T("   TG")</f>
        <v xml:space="preserve">   TG</v>
      </c>
      <c r="B729" t="str">
        <f>T("   Togo")</f>
        <v xml:space="preserve">   Togo</v>
      </c>
      <c r="C729">
        <v>2000000</v>
      </c>
      <c r="D729">
        <v>726</v>
      </c>
    </row>
    <row r="730" spans="1:4" x14ac:dyDescent="0.25">
      <c r="A730" t="str">
        <f>T("521019")</f>
        <v>521019</v>
      </c>
      <c r="B730" t="str">
        <f>T("Tissus de coton, écrus, contenant en prédominance, mais &lt; 85% en poids de coton, mélangés principalement ou uniquement avec des fibres synthétiques ou artificielles, d'un poids &lt;= 200 g/m² (à l'excl. des tissus à armure toile ou à armure sergé [y.c. le cr")</f>
        <v>Tissus de coton, écrus, contenant en prédominance, mais &lt; 85% en poids de coton, mélangés principalement ou uniquement avec des fibres synthétiques ou artificielles, d'un poids &lt;= 200 g/m² (à l'excl. des tissus à armure toile ou à armure sergé [y.c. le cr</v>
      </c>
    </row>
    <row r="731" spans="1:4" x14ac:dyDescent="0.25">
      <c r="A731" t="str">
        <f>T("   ZZZ_Monde")</f>
        <v xml:space="preserve">   ZZZ_Monde</v>
      </c>
      <c r="B731" t="str">
        <f>T("   ZZZ_Monde")</f>
        <v xml:space="preserve">   ZZZ_Monde</v>
      </c>
      <c r="C731">
        <v>14777500</v>
      </c>
      <c r="D731">
        <v>14000</v>
      </c>
    </row>
    <row r="732" spans="1:4" x14ac:dyDescent="0.25">
      <c r="A732" t="str">
        <f>T("   NG")</f>
        <v xml:space="preserve">   NG</v>
      </c>
      <c r="B732" t="str">
        <f>T("   Nigéria")</f>
        <v xml:space="preserve">   Nigéria</v>
      </c>
      <c r="C732">
        <v>14777500</v>
      </c>
      <c r="D732">
        <v>14000</v>
      </c>
    </row>
    <row r="733" spans="1:4" x14ac:dyDescent="0.25">
      <c r="A733" t="str">
        <f>T("521211")</f>
        <v>521211</v>
      </c>
      <c r="B733" t="str">
        <f>T("Tissus de coton, écrus, contenant en prédominance, mais &lt; 85% en poids de coton, autres que mélangés principalement ou uniquement avec des fibres synthétiques ou artificielles, d'un poids &lt;= 200 g/m²")</f>
        <v>Tissus de coton, écrus, contenant en prédominance, mais &lt; 85% en poids de coton, autres que mélangés principalement ou uniquement avec des fibres synthétiques ou artificielles, d'un poids &lt;= 200 g/m²</v>
      </c>
    </row>
    <row r="734" spans="1:4" x14ac:dyDescent="0.25">
      <c r="A734" t="str">
        <f>T("   ZZZ_Monde")</f>
        <v xml:space="preserve">   ZZZ_Monde</v>
      </c>
      <c r="B734" t="str">
        <f>T("   ZZZ_Monde")</f>
        <v xml:space="preserve">   ZZZ_Monde</v>
      </c>
      <c r="C734">
        <v>173073600</v>
      </c>
      <c r="D734">
        <v>54944</v>
      </c>
    </row>
    <row r="735" spans="1:4" x14ac:dyDescent="0.25">
      <c r="A735" t="str">
        <f>T("   CM")</f>
        <v xml:space="preserve">   CM</v>
      </c>
      <c r="B735" t="str">
        <f>T("   Cameroun")</f>
        <v xml:space="preserve">   Cameroun</v>
      </c>
      <c r="C735">
        <v>173073600</v>
      </c>
      <c r="D735">
        <v>54944</v>
      </c>
    </row>
    <row r="736" spans="1:4" x14ac:dyDescent="0.25">
      <c r="A736" t="str">
        <f>T("521214")</f>
        <v>521214</v>
      </c>
      <c r="B736" t="str">
        <f>T("Tissus de coton, en fils de diverses couleurs, contenant en prédominance, mais &lt; 85% en poids de coton, autres que mélangés principalement ou uniquement avec des fibres synthétiques ou artificielles, d'un poids &lt;= 200 g/m²")</f>
        <v>Tissus de coton, en fils de diverses couleurs, contenant en prédominance, mais &lt; 85% en poids de coton, autres que mélangés principalement ou uniquement avec des fibres synthétiques ou artificielles, d'un poids &lt;= 200 g/m²</v>
      </c>
    </row>
    <row r="737" spans="1:4" x14ac:dyDescent="0.25">
      <c r="A737" t="str">
        <f>T("   ZZZ_Monde")</f>
        <v xml:space="preserve">   ZZZ_Monde</v>
      </c>
      <c r="B737" t="str">
        <f>T("   ZZZ_Monde")</f>
        <v xml:space="preserve">   ZZZ_Monde</v>
      </c>
      <c r="C737">
        <v>40000</v>
      </c>
      <c r="D737">
        <v>15</v>
      </c>
    </row>
    <row r="738" spans="1:4" x14ac:dyDescent="0.25">
      <c r="A738" t="str">
        <f>T("   FR")</f>
        <v xml:space="preserve">   FR</v>
      </c>
      <c r="B738" t="str">
        <f>T("   France")</f>
        <v xml:space="preserve">   France</v>
      </c>
      <c r="C738">
        <v>40000</v>
      </c>
      <c r="D738">
        <v>15</v>
      </c>
    </row>
    <row r="739" spans="1:4" x14ac:dyDescent="0.25">
      <c r="A739" t="str">
        <f>T("521225")</f>
        <v>521225</v>
      </c>
      <c r="B739" t="str">
        <f>T("Tissus de coton, imprimés, contenant en prédominance, mais &lt; 85% en poids de coton, autres que mélangés principalement ou uniquement avec des fibres synthétiques ou artificielles, d'un poids &gt; 200 g/m²")</f>
        <v>Tissus de coton, imprimés, contenant en prédominance, mais &lt; 85% en poids de coton, autres que mélangés principalement ou uniquement avec des fibres synthétiques ou artificielles, d'un poids &gt; 200 g/m²</v>
      </c>
    </row>
    <row r="740" spans="1:4" x14ac:dyDescent="0.25">
      <c r="A740" t="str">
        <f>T("   ZZZ_Monde")</f>
        <v xml:space="preserve">   ZZZ_Monde</v>
      </c>
      <c r="B740" t="str">
        <f>T("   ZZZ_Monde")</f>
        <v xml:space="preserve">   ZZZ_Monde</v>
      </c>
      <c r="C740">
        <v>700000</v>
      </c>
      <c r="D740">
        <v>1300</v>
      </c>
    </row>
    <row r="741" spans="1:4" x14ac:dyDescent="0.25">
      <c r="A741" t="str">
        <f>T("   GA")</f>
        <v xml:space="preserve">   GA</v>
      </c>
      <c r="B741" t="str">
        <f>T("   Gabon")</f>
        <v xml:space="preserve">   Gabon</v>
      </c>
      <c r="C741">
        <v>700000</v>
      </c>
      <c r="D741">
        <v>1300</v>
      </c>
    </row>
    <row r="742" spans="1:4" x14ac:dyDescent="0.25">
      <c r="A742" t="str">
        <f>T("560900")</f>
        <v>560900</v>
      </c>
      <c r="B742" t="str">
        <f>T("Articles en fils, lames ou formes simil. du n° 5404 ou 5405, ficelles, cordes ou cordages du n° 5607, n.d.a.")</f>
        <v>Articles en fils, lames ou formes simil. du n° 5404 ou 5405, ficelles, cordes ou cordages du n° 5607, n.d.a.</v>
      </c>
    </row>
    <row r="743" spans="1:4" x14ac:dyDescent="0.25">
      <c r="A743" t="str">
        <f>T("   ZZZ_Monde")</f>
        <v xml:space="preserve">   ZZZ_Monde</v>
      </c>
      <c r="B743" t="str">
        <f>T("   ZZZ_Monde")</f>
        <v xml:space="preserve">   ZZZ_Monde</v>
      </c>
      <c r="C743">
        <v>736175</v>
      </c>
      <c r="D743">
        <v>3</v>
      </c>
    </row>
    <row r="744" spans="1:4" x14ac:dyDescent="0.25">
      <c r="A744" t="str">
        <f>T("   CI")</f>
        <v xml:space="preserve">   CI</v>
      </c>
      <c r="B744" t="str">
        <f>T("   Côte d'Ivoire")</f>
        <v xml:space="preserve">   Côte d'Ivoire</v>
      </c>
      <c r="C744">
        <v>736175</v>
      </c>
      <c r="D744">
        <v>3</v>
      </c>
    </row>
    <row r="745" spans="1:4" x14ac:dyDescent="0.25">
      <c r="A745" t="str">
        <f>T("570299")</f>
        <v>570299</v>
      </c>
      <c r="B745" t="str">
        <f>T("Tapis et autres revêtements de sol, de matières textiles végétales ou de poils grossiers, tissés, non touffetés ni floqués, sans velours, confectionnés (à l'excl. des revêtements de sol en coco ainsi que des tapis dits 'kelim', 'kilim', 'schumacks', 'soum")</f>
        <v>Tapis et autres revêtements de sol, de matières textiles végétales ou de poils grossiers, tissés, non touffetés ni floqués, sans velours, confectionnés (à l'excl. des revêtements de sol en coco ainsi que des tapis dits 'kelim', 'kilim', 'schumacks', 'soum</v>
      </c>
    </row>
    <row r="746" spans="1:4" x14ac:dyDescent="0.25">
      <c r="A746" t="str">
        <f>T("   ZZZ_Monde")</f>
        <v xml:space="preserve">   ZZZ_Monde</v>
      </c>
      <c r="B746" t="str">
        <f>T("   ZZZ_Monde")</f>
        <v xml:space="preserve">   ZZZ_Monde</v>
      </c>
      <c r="C746">
        <v>204081</v>
      </c>
      <c r="D746">
        <v>39</v>
      </c>
    </row>
    <row r="747" spans="1:4" x14ac:dyDescent="0.25">
      <c r="A747" t="str">
        <f>T("   GB")</f>
        <v xml:space="preserve">   GB</v>
      </c>
      <c r="B747" t="str">
        <f>T("   Royaume-Uni")</f>
        <v xml:space="preserve">   Royaume-Uni</v>
      </c>
      <c r="C747">
        <v>204081</v>
      </c>
      <c r="D747">
        <v>39</v>
      </c>
    </row>
    <row r="748" spans="1:4" x14ac:dyDescent="0.25">
      <c r="A748" t="str">
        <f>T("580310")</f>
        <v>580310</v>
      </c>
      <c r="B748" t="str">
        <f>T("Tissus à point de gaze, de coton (à l'excl. des articles de rubanerie du n° 5806)")</f>
        <v>Tissus à point de gaze, de coton (à l'excl. des articles de rubanerie du n° 5806)</v>
      </c>
    </row>
    <row r="749" spans="1:4" x14ac:dyDescent="0.25">
      <c r="A749" t="str">
        <f>T("   ZZZ_Monde")</f>
        <v xml:space="preserve">   ZZZ_Monde</v>
      </c>
      <c r="B749" t="str">
        <f>T("   ZZZ_Monde")</f>
        <v xml:space="preserve">   ZZZ_Monde</v>
      </c>
      <c r="C749">
        <v>28065312</v>
      </c>
      <c r="D749">
        <v>33678</v>
      </c>
    </row>
    <row r="750" spans="1:4" x14ac:dyDescent="0.25">
      <c r="A750" t="str">
        <f>T("   NE")</f>
        <v xml:space="preserve">   NE</v>
      </c>
      <c r="B750" t="str">
        <f>T("   Niger")</f>
        <v xml:space="preserve">   Niger</v>
      </c>
      <c r="C750">
        <v>28065312</v>
      </c>
      <c r="D750">
        <v>33678</v>
      </c>
    </row>
    <row r="751" spans="1:4" x14ac:dyDescent="0.25">
      <c r="A751" t="str">
        <f>T("600690")</f>
        <v>600690</v>
      </c>
      <c r="B751" t="str">
        <f>T("Etoffes de bonneterie, d'une largeur &gt; 30 cm (sauf de fibres synthétiques ou artificielles, coton, laine ou poils fins, étoffes de bonneterie-chaîne, y.c. celles fabriquées sur métiers à galonner, et à l'excl. de celles contenant en poids &gt;= 5% de fils d'")</f>
        <v>Etoffes de bonneterie, d'une largeur &gt; 30 cm (sauf de fibres synthétiques ou artificielles, coton, laine ou poils fins, étoffes de bonneterie-chaîne, y.c. celles fabriquées sur métiers à galonner, et à l'excl. de celles contenant en poids &gt;= 5% de fils d'</v>
      </c>
    </row>
    <row r="752" spans="1:4" x14ac:dyDescent="0.25">
      <c r="A752" t="str">
        <f>T("   ZZZ_Monde")</f>
        <v xml:space="preserve">   ZZZ_Monde</v>
      </c>
      <c r="B752" t="str">
        <f>T("   ZZZ_Monde")</f>
        <v xml:space="preserve">   ZZZ_Monde</v>
      </c>
      <c r="C752">
        <v>2170000</v>
      </c>
      <c r="D752">
        <v>2260</v>
      </c>
    </row>
    <row r="753" spans="1:4" x14ac:dyDescent="0.25">
      <c r="A753" t="str">
        <f>T("   GA")</f>
        <v xml:space="preserve">   GA</v>
      </c>
      <c r="B753" t="str">
        <f>T("   Gabon")</f>
        <v xml:space="preserve">   Gabon</v>
      </c>
      <c r="C753">
        <v>2170000</v>
      </c>
      <c r="D753">
        <v>2260</v>
      </c>
    </row>
    <row r="754" spans="1:4" x14ac:dyDescent="0.25">
      <c r="A754" t="str">
        <f>T("610690")</f>
        <v>610690</v>
      </c>
      <c r="B754" t="str">
        <f>T("Chemisiers, blouses, blouses-chemisiers et chemisettes, en bonneterie, de matières textiles, pour femmes ou fillettes (sauf de coton, fibres synthétiques ou artificielles et sauf T-shirts et gilets de corps)")</f>
        <v>Chemisiers, blouses, blouses-chemisiers et chemisettes, en bonneterie, de matières textiles, pour femmes ou fillettes (sauf de coton, fibres synthétiques ou artificielles et sauf T-shirts et gilets de corps)</v>
      </c>
    </row>
    <row r="755" spans="1:4" x14ac:dyDescent="0.25">
      <c r="A755" t="str">
        <f>T("   ZZZ_Monde")</f>
        <v xml:space="preserve">   ZZZ_Monde</v>
      </c>
      <c r="B755" t="str">
        <f>T("   ZZZ_Monde")</f>
        <v xml:space="preserve">   ZZZ_Monde</v>
      </c>
      <c r="C755">
        <v>3717640</v>
      </c>
      <c r="D755">
        <v>5955</v>
      </c>
    </row>
    <row r="756" spans="1:4" x14ac:dyDescent="0.25">
      <c r="A756" t="str">
        <f>T("   CG")</f>
        <v xml:space="preserve">   CG</v>
      </c>
      <c r="B756" t="str">
        <f>T("   Congo (Brazzaville)")</f>
        <v xml:space="preserve">   Congo (Brazzaville)</v>
      </c>
      <c r="C756">
        <v>2510000</v>
      </c>
      <c r="D756">
        <v>5000</v>
      </c>
    </row>
    <row r="757" spans="1:4" x14ac:dyDescent="0.25">
      <c r="A757" t="str">
        <f>T("   FR")</f>
        <v xml:space="preserve">   FR</v>
      </c>
      <c r="B757" t="str">
        <f>T("   France")</f>
        <v xml:space="preserve">   France</v>
      </c>
      <c r="C757">
        <v>1207640</v>
      </c>
      <c r="D757">
        <v>955</v>
      </c>
    </row>
    <row r="758" spans="1:4" x14ac:dyDescent="0.25">
      <c r="A758" t="str">
        <f>T("611300")</f>
        <v>611300</v>
      </c>
      <c r="B758" t="str">
        <f>T("Vêtements confectionnés en étoffes de bonneterie caoutchoutées ou imprégnées, enduites ou recouvertes de matière plastique ou d'autres substances (sauf vêtements pour bébés et accessoires du vêtement)")</f>
        <v>Vêtements confectionnés en étoffes de bonneterie caoutchoutées ou imprégnées, enduites ou recouvertes de matière plastique ou d'autres substances (sauf vêtements pour bébés et accessoires du vêtement)</v>
      </c>
    </row>
    <row r="759" spans="1:4" x14ac:dyDescent="0.25">
      <c r="A759" t="str">
        <f>T("   ZZZ_Monde")</f>
        <v xml:space="preserve">   ZZZ_Monde</v>
      </c>
      <c r="B759" t="str">
        <f>T("   ZZZ_Monde")</f>
        <v xml:space="preserve">   ZZZ_Monde</v>
      </c>
      <c r="C759">
        <v>800000</v>
      </c>
      <c r="D759">
        <v>5230</v>
      </c>
    </row>
    <row r="760" spans="1:4" x14ac:dyDescent="0.25">
      <c r="A760" t="str">
        <f>T("   SN")</f>
        <v xml:space="preserve">   SN</v>
      </c>
      <c r="B760" t="str">
        <f>T("   Sénégal")</f>
        <v xml:space="preserve">   Sénégal</v>
      </c>
      <c r="C760">
        <v>800000</v>
      </c>
      <c r="D760">
        <v>5230</v>
      </c>
    </row>
    <row r="761" spans="1:4" x14ac:dyDescent="0.25">
      <c r="A761" t="str">
        <f>T("611490")</f>
        <v>611490</v>
      </c>
      <c r="B761" t="str">
        <f>T("Vêtements spéciaux destinés à des fins professionnelles, sportives ou autres n.d.a., en bonneterie, de matières textiles (sauf de laine, poils fins, coton, fibres synthétiques ou artificielles)")</f>
        <v>Vêtements spéciaux destinés à des fins professionnelles, sportives ou autres n.d.a., en bonneterie, de matières textiles (sauf de laine, poils fins, coton, fibres synthétiques ou artificielles)</v>
      </c>
    </row>
    <row r="762" spans="1:4" x14ac:dyDescent="0.25">
      <c r="A762" t="str">
        <f>T("   ZZZ_Monde")</f>
        <v xml:space="preserve">   ZZZ_Monde</v>
      </c>
      <c r="B762" t="str">
        <f>T("   ZZZ_Monde")</f>
        <v xml:space="preserve">   ZZZ_Monde</v>
      </c>
      <c r="C762">
        <v>15598586</v>
      </c>
      <c r="D762">
        <v>4780</v>
      </c>
    </row>
    <row r="763" spans="1:4" x14ac:dyDescent="0.25">
      <c r="A763" t="str">
        <f>T("   FR")</f>
        <v xml:space="preserve">   FR</v>
      </c>
      <c r="B763" t="str">
        <f>T("   France")</f>
        <v xml:space="preserve">   France</v>
      </c>
      <c r="C763">
        <v>10729395</v>
      </c>
      <c r="D763">
        <v>3900</v>
      </c>
    </row>
    <row r="764" spans="1:4" x14ac:dyDescent="0.25">
      <c r="A764" t="str">
        <f>T("   GA")</f>
        <v xml:space="preserve">   GA</v>
      </c>
      <c r="B764" t="str">
        <f>T("   Gabon")</f>
        <v xml:space="preserve">   Gabon</v>
      </c>
      <c r="C764">
        <v>4869191</v>
      </c>
      <c r="D764">
        <v>880</v>
      </c>
    </row>
    <row r="765" spans="1:4" x14ac:dyDescent="0.25">
      <c r="A765" t="str">
        <f>T("620319")</f>
        <v>620319</v>
      </c>
      <c r="B765" t="str">
        <f>T("Costumes ou complets, de matières textiles, pour hommes ou garçonnets (autres que laine, poils fins ou fibres synthétiques, autres qu'en bonneterie et sauf survêtements de sport 'trainings', combinaisons et ensembles de ski, maillots, culottes et slips de")</f>
        <v>Costumes ou complets, de matières textiles, pour hommes ou garçonnets (autres que laine, poils fins ou fibres synthétiques, autres qu'en bonneterie et sauf survêtements de sport 'trainings', combinaisons et ensembles de ski, maillots, culottes et slips de</v>
      </c>
    </row>
    <row r="766" spans="1:4" x14ac:dyDescent="0.25">
      <c r="A766" t="str">
        <f>T("   ZZZ_Monde")</f>
        <v xml:space="preserve">   ZZZ_Monde</v>
      </c>
      <c r="B766" t="str">
        <f>T("   ZZZ_Monde")</f>
        <v xml:space="preserve">   ZZZ_Monde</v>
      </c>
      <c r="C766">
        <v>1200000</v>
      </c>
      <c r="D766">
        <v>5000</v>
      </c>
    </row>
    <row r="767" spans="1:4" x14ac:dyDescent="0.25">
      <c r="A767" t="str">
        <f>T("   FR")</f>
        <v xml:space="preserve">   FR</v>
      </c>
      <c r="B767" t="str">
        <f>T("   France")</f>
        <v xml:space="preserve">   France</v>
      </c>
      <c r="C767">
        <v>1200000</v>
      </c>
      <c r="D767">
        <v>5000</v>
      </c>
    </row>
    <row r="768" spans="1:4" x14ac:dyDescent="0.25">
      <c r="A768" t="str">
        <f>T("620349")</f>
        <v>620349</v>
      </c>
      <c r="B768" t="str">
        <f>T("Pantalons, y.c. knickers et pantalons simil., salopettes à bretelles, culottes et shorts, de matières textiles, pour hommes ou garçonnets (autres que laine, poils fins, coton ou fibres synthétiques, autres qu'en bonneterie et sauf slips et caleçons et mai")</f>
        <v>Pantalons, y.c. knickers et pantalons simil., salopettes à bretelles, culottes et shorts, de matières textiles, pour hommes ou garçonnets (autres que laine, poils fins, coton ou fibres synthétiques, autres qu'en bonneterie et sauf slips et caleçons et mai</v>
      </c>
    </row>
    <row r="769" spans="1:4" x14ac:dyDescent="0.25">
      <c r="A769" t="str">
        <f>T("   ZZZ_Monde")</f>
        <v xml:space="preserve">   ZZZ_Monde</v>
      </c>
      <c r="B769" t="str">
        <f>T("   ZZZ_Monde")</f>
        <v xml:space="preserve">   ZZZ_Monde</v>
      </c>
      <c r="C769">
        <v>700000</v>
      </c>
      <c r="D769">
        <v>10000</v>
      </c>
    </row>
    <row r="770" spans="1:4" x14ac:dyDescent="0.25">
      <c r="A770" t="str">
        <f>T("   FR")</f>
        <v xml:space="preserve">   FR</v>
      </c>
      <c r="B770" t="str">
        <f>T("   France")</f>
        <v xml:space="preserve">   France</v>
      </c>
      <c r="C770">
        <v>700000</v>
      </c>
      <c r="D770">
        <v>10000</v>
      </c>
    </row>
    <row r="771" spans="1:4" x14ac:dyDescent="0.25">
      <c r="A771" t="str">
        <f>T("620590")</f>
        <v>620590</v>
      </c>
      <c r="B771" t="str">
        <f>T("CHEMISES ET CHEMISETTES, DE MATIÈRES TEXTILES, POUR HOMMES OU GARÇONNETS (AUTRES QUE DE COTON, FIBRES SYNTHÉTIQUES OU ARTIFICIELLES, AUTRES QU'EN BONNETERIE ET SAUF CHEMISES DE NUIT ET GILETS DE CORPS)")</f>
        <v>CHEMISES ET CHEMISETTES, DE MATIÈRES TEXTILES, POUR HOMMES OU GARÇONNETS (AUTRES QUE DE COTON, FIBRES SYNTHÉTIQUES OU ARTIFICIELLES, AUTRES QU'EN BONNETERIE ET SAUF CHEMISES DE NUIT ET GILETS DE CORPS)</v>
      </c>
    </row>
    <row r="772" spans="1:4" x14ac:dyDescent="0.25">
      <c r="A772" t="str">
        <f>T("   ZZZ_Monde")</f>
        <v xml:space="preserve">   ZZZ_Monde</v>
      </c>
      <c r="B772" t="str">
        <f>T("   ZZZ_Monde")</f>
        <v xml:space="preserve">   ZZZ_Monde</v>
      </c>
      <c r="C772">
        <v>23250000</v>
      </c>
      <c r="D772">
        <v>31059.5</v>
      </c>
    </row>
    <row r="773" spans="1:4" x14ac:dyDescent="0.25">
      <c r="A773" t="str">
        <f>T("   BE")</f>
        <v xml:space="preserve">   BE</v>
      </c>
      <c r="B773" t="str">
        <f>T("   Belgique")</f>
        <v xml:space="preserve">   Belgique</v>
      </c>
      <c r="C773">
        <v>2500000</v>
      </c>
      <c r="D773">
        <v>3250</v>
      </c>
    </row>
    <row r="774" spans="1:4" x14ac:dyDescent="0.25">
      <c r="A774" t="str">
        <f>T("   BF")</f>
        <v xml:space="preserve">   BF</v>
      </c>
      <c r="B774" t="str">
        <f>T("   Burkina Faso")</f>
        <v xml:space="preserve">   Burkina Faso</v>
      </c>
      <c r="C774">
        <v>1550000</v>
      </c>
      <c r="D774">
        <v>1600</v>
      </c>
    </row>
    <row r="775" spans="1:4" x14ac:dyDescent="0.25">
      <c r="A775" t="str">
        <f>T("   BR")</f>
        <v xml:space="preserve">   BR</v>
      </c>
      <c r="B775" t="str">
        <f>T("   Brésil")</f>
        <v xml:space="preserve">   Brésil</v>
      </c>
      <c r="C775">
        <v>1200000</v>
      </c>
      <c r="D775">
        <v>1500</v>
      </c>
    </row>
    <row r="776" spans="1:4" x14ac:dyDescent="0.25">
      <c r="A776" t="str">
        <f>T("   CD")</f>
        <v xml:space="preserve">   CD</v>
      </c>
      <c r="B776" t="str">
        <f>T("   Congo, République Démocratique")</f>
        <v xml:space="preserve">   Congo, République Démocratique</v>
      </c>
      <c r="C776">
        <v>750000</v>
      </c>
      <c r="D776">
        <v>700</v>
      </c>
    </row>
    <row r="777" spans="1:4" x14ac:dyDescent="0.25">
      <c r="A777" t="str">
        <f>T("   CH")</f>
        <v xml:space="preserve">   CH</v>
      </c>
      <c r="B777" t="str">
        <f>T("   Suisse")</f>
        <v xml:space="preserve">   Suisse</v>
      </c>
      <c r="C777">
        <v>550000</v>
      </c>
      <c r="D777">
        <v>800</v>
      </c>
    </row>
    <row r="778" spans="1:4" x14ac:dyDescent="0.25">
      <c r="A778" t="str">
        <f>T("   CI")</f>
        <v xml:space="preserve">   CI</v>
      </c>
      <c r="B778" t="str">
        <f>T("   Côte d'Ivoire")</f>
        <v xml:space="preserve">   Côte d'Ivoire</v>
      </c>
      <c r="C778">
        <v>1500000</v>
      </c>
      <c r="D778">
        <v>1800</v>
      </c>
    </row>
    <row r="779" spans="1:4" x14ac:dyDescent="0.25">
      <c r="A779" t="str">
        <f>T("   CM")</f>
        <v xml:space="preserve">   CM</v>
      </c>
      <c r="B779" t="str">
        <f>T("   Cameroun")</f>
        <v xml:space="preserve">   Cameroun</v>
      </c>
      <c r="C779">
        <v>1250000</v>
      </c>
      <c r="D779">
        <v>1400</v>
      </c>
    </row>
    <row r="780" spans="1:4" x14ac:dyDescent="0.25">
      <c r="A780" t="str">
        <f>T("   DE")</f>
        <v xml:space="preserve">   DE</v>
      </c>
      <c r="B780" t="str">
        <f>T("   Allemagne")</f>
        <v xml:space="preserve">   Allemagne</v>
      </c>
      <c r="C780">
        <v>1800000</v>
      </c>
      <c r="D780">
        <v>2250</v>
      </c>
    </row>
    <row r="781" spans="1:4" x14ac:dyDescent="0.25">
      <c r="A781" t="str">
        <f>T("   DK")</f>
        <v xml:space="preserve">   DK</v>
      </c>
      <c r="B781" t="str">
        <f>T("   Danemark")</f>
        <v xml:space="preserve">   Danemark</v>
      </c>
      <c r="C781">
        <v>300000</v>
      </c>
      <c r="D781">
        <v>200</v>
      </c>
    </row>
    <row r="782" spans="1:4" x14ac:dyDescent="0.25">
      <c r="A782" t="str">
        <f>T("   ET")</f>
        <v xml:space="preserve">   ET</v>
      </c>
      <c r="B782" t="str">
        <f>T("   Ethiopie")</f>
        <v xml:space="preserve">   Ethiopie</v>
      </c>
      <c r="C782">
        <v>400000</v>
      </c>
      <c r="D782">
        <v>500</v>
      </c>
    </row>
    <row r="783" spans="1:4" x14ac:dyDescent="0.25">
      <c r="A783" t="str">
        <f>T("   FR")</f>
        <v xml:space="preserve">   FR</v>
      </c>
      <c r="B783" t="str">
        <f>T("   France")</f>
        <v xml:space="preserve">   France</v>
      </c>
      <c r="C783">
        <v>2350000</v>
      </c>
      <c r="D783">
        <v>2750</v>
      </c>
    </row>
    <row r="784" spans="1:4" x14ac:dyDescent="0.25">
      <c r="A784" t="str">
        <f>T("   GA")</f>
        <v xml:space="preserve">   GA</v>
      </c>
      <c r="B784" t="str">
        <f>T("   Gabon")</f>
        <v xml:space="preserve">   Gabon</v>
      </c>
      <c r="C784">
        <v>1750000</v>
      </c>
      <c r="D784">
        <v>1750</v>
      </c>
    </row>
    <row r="785" spans="1:4" x14ac:dyDescent="0.25">
      <c r="A785" t="str">
        <f>T("   GP")</f>
        <v xml:space="preserve">   GP</v>
      </c>
      <c r="B785" t="str">
        <f>T("   Guadeloupe")</f>
        <v xml:space="preserve">   Guadeloupe</v>
      </c>
      <c r="C785">
        <v>500000</v>
      </c>
      <c r="D785">
        <v>450</v>
      </c>
    </row>
    <row r="786" spans="1:4" x14ac:dyDescent="0.25">
      <c r="A786" t="str">
        <f>T("   GY")</f>
        <v xml:space="preserve">   GY</v>
      </c>
      <c r="B786" t="str">
        <f>T("   Guyane")</f>
        <v xml:space="preserve">   Guyane</v>
      </c>
      <c r="C786">
        <v>200000</v>
      </c>
      <c r="D786">
        <v>100</v>
      </c>
    </row>
    <row r="787" spans="1:4" x14ac:dyDescent="0.25">
      <c r="A787" t="str">
        <f>T("   ID")</f>
        <v xml:space="preserve">   ID</v>
      </c>
      <c r="B787" t="str">
        <f>T("   Indonésie")</f>
        <v xml:space="preserve">   Indonésie</v>
      </c>
      <c r="C787">
        <v>500000</v>
      </c>
      <c r="D787">
        <v>600</v>
      </c>
    </row>
    <row r="788" spans="1:4" x14ac:dyDescent="0.25">
      <c r="A788" t="str">
        <f>T("   KE")</f>
        <v xml:space="preserve">   KE</v>
      </c>
      <c r="B788" t="str">
        <f>T("   Kenya")</f>
        <v xml:space="preserve">   Kenya</v>
      </c>
      <c r="C788">
        <v>700000</v>
      </c>
      <c r="D788">
        <v>500</v>
      </c>
    </row>
    <row r="789" spans="1:4" x14ac:dyDescent="0.25">
      <c r="A789" t="str">
        <f>T("   MG")</f>
        <v xml:space="preserve">   MG</v>
      </c>
      <c r="B789" t="str">
        <f>T("   Madagascar")</f>
        <v xml:space="preserve">   Madagascar</v>
      </c>
      <c r="C789">
        <v>500000</v>
      </c>
      <c r="D789">
        <v>500</v>
      </c>
    </row>
    <row r="790" spans="1:4" x14ac:dyDescent="0.25">
      <c r="A790" t="str">
        <f>T("   NE")</f>
        <v xml:space="preserve">   NE</v>
      </c>
      <c r="B790" t="str">
        <f>T("   Niger")</f>
        <v xml:space="preserve">   Niger</v>
      </c>
      <c r="C790">
        <v>300000</v>
      </c>
      <c r="D790">
        <v>200</v>
      </c>
    </row>
    <row r="791" spans="1:4" x14ac:dyDescent="0.25">
      <c r="A791" t="str">
        <f>T("   NL")</f>
        <v xml:space="preserve">   NL</v>
      </c>
      <c r="B791" t="str">
        <f>T("   Pays-bas")</f>
        <v xml:space="preserve">   Pays-bas</v>
      </c>
      <c r="C791">
        <v>500000</v>
      </c>
      <c r="D791">
        <v>900</v>
      </c>
    </row>
    <row r="792" spans="1:4" x14ac:dyDescent="0.25">
      <c r="A792" t="str">
        <f>T("   SN")</f>
        <v xml:space="preserve">   SN</v>
      </c>
      <c r="B792" t="str">
        <f>T("   Sénégal")</f>
        <v xml:space="preserve">   Sénégal</v>
      </c>
      <c r="C792">
        <v>1500000</v>
      </c>
      <c r="D792">
        <v>2400</v>
      </c>
    </row>
    <row r="793" spans="1:4" x14ac:dyDescent="0.25">
      <c r="A793" t="str">
        <f>T("   US")</f>
        <v xml:space="preserve">   US</v>
      </c>
      <c r="B793" t="str">
        <f>T("   Etats-Unis")</f>
        <v xml:space="preserve">   Etats-Unis</v>
      </c>
      <c r="C793">
        <v>2650000</v>
      </c>
      <c r="D793">
        <v>6909.5</v>
      </c>
    </row>
    <row r="794" spans="1:4" x14ac:dyDescent="0.25">
      <c r="A794" t="str">
        <f>T("621020")</f>
        <v>621020</v>
      </c>
      <c r="B794" t="str">
        <f>T("Vêtements des types du n° 6201.11 à 6201.19 [manteaux, cabans, capes et articles simil.], caoutchoutés ou imprégnés, enduits ou recouverts de matière plastique ou d'autres substances")</f>
        <v>Vêtements des types du n° 6201.11 à 6201.19 [manteaux, cabans, capes et articles simil.], caoutchoutés ou imprégnés, enduits ou recouverts de matière plastique ou d'autres substances</v>
      </c>
    </row>
    <row r="795" spans="1:4" x14ac:dyDescent="0.25">
      <c r="A795" t="str">
        <f>T("   ZZZ_Monde")</f>
        <v xml:space="preserve">   ZZZ_Monde</v>
      </c>
      <c r="B795" t="str">
        <f>T("   ZZZ_Monde")</f>
        <v xml:space="preserve">   ZZZ_Monde</v>
      </c>
      <c r="C795">
        <v>685000</v>
      </c>
      <c r="D795">
        <v>261</v>
      </c>
    </row>
    <row r="796" spans="1:4" x14ac:dyDescent="0.25">
      <c r="A796" t="str">
        <f>T("   FR")</f>
        <v xml:space="preserve">   FR</v>
      </c>
      <c r="B796" t="str">
        <f>T("   France")</f>
        <v xml:space="preserve">   France</v>
      </c>
      <c r="C796">
        <v>685000</v>
      </c>
      <c r="D796">
        <v>261</v>
      </c>
    </row>
    <row r="797" spans="1:4" x14ac:dyDescent="0.25">
      <c r="A797" t="str">
        <f>T("621040")</f>
        <v>621040</v>
      </c>
      <c r="B797" t="str">
        <f>T("Vêtements de tissus, autres qu'en bonneterie, caoutchoutés ou imprégnés, enduits ou recouverts de matière plastique ou d'autres substances, pour hommes ou garçonnets (autres que vêtements des types du n° 6201.11 à 6201.19 [manteaux, cabans, capes et artic")</f>
        <v>Vêtements de tissus, autres qu'en bonneterie, caoutchoutés ou imprégnés, enduits ou recouverts de matière plastique ou d'autres substances, pour hommes ou garçonnets (autres que vêtements des types du n° 6201.11 à 6201.19 [manteaux, cabans, capes et artic</v>
      </c>
    </row>
    <row r="798" spans="1:4" x14ac:dyDescent="0.25">
      <c r="A798" t="str">
        <f>T("   ZZZ_Monde")</f>
        <v xml:space="preserve">   ZZZ_Monde</v>
      </c>
      <c r="B798" t="str">
        <f>T("   ZZZ_Monde")</f>
        <v xml:space="preserve">   ZZZ_Monde</v>
      </c>
      <c r="C798">
        <v>1500000</v>
      </c>
      <c r="D798">
        <v>1895</v>
      </c>
    </row>
    <row r="799" spans="1:4" x14ac:dyDescent="0.25">
      <c r="A799" t="str">
        <f>T("   US")</f>
        <v xml:space="preserve">   US</v>
      </c>
      <c r="B799" t="str">
        <f>T("   Etats-Unis")</f>
        <v xml:space="preserve">   Etats-Unis</v>
      </c>
      <c r="C799">
        <v>1500000</v>
      </c>
      <c r="D799">
        <v>1895</v>
      </c>
    </row>
    <row r="800" spans="1:4" x14ac:dyDescent="0.25">
      <c r="A800" t="str">
        <f>T("621050")</f>
        <v>621050</v>
      </c>
      <c r="B800" t="str">
        <f>T("Vêtements de tissus, autres qu'en bonneterie, caoutchoutés ou imprégnés, enduits ou recouverts de matière plastique ou d'autres substances, pour femmes ou fillettes (autres que vêtements des types du n° 6202.11 à 6202.19 [manteaux, cabans, capes et articl")</f>
        <v>Vêtements de tissus, autres qu'en bonneterie, caoutchoutés ou imprégnés, enduits ou recouverts de matière plastique ou d'autres substances, pour femmes ou fillettes (autres que vêtements des types du n° 6202.11 à 6202.19 [manteaux, cabans, capes et articl</v>
      </c>
    </row>
    <row r="801" spans="1:4" x14ac:dyDescent="0.25">
      <c r="A801" t="str">
        <f>T("   ZZZ_Monde")</f>
        <v xml:space="preserve">   ZZZ_Monde</v>
      </c>
      <c r="B801" t="str">
        <f>T("   ZZZ_Monde")</f>
        <v xml:space="preserve">   ZZZ_Monde</v>
      </c>
      <c r="C801">
        <v>6250746</v>
      </c>
      <c r="D801">
        <v>6532</v>
      </c>
    </row>
    <row r="802" spans="1:4" x14ac:dyDescent="0.25">
      <c r="A802" t="str">
        <f>T("   BE")</f>
        <v xml:space="preserve">   BE</v>
      </c>
      <c r="B802" t="str">
        <f>T("   Belgique")</f>
        <v xml:space="preserve">   Belgique</v>
      </c>
      <c r="C802">
        <v>2000000</v>
      </c>
      <c r="D802">
        <v>2290</v>
      </c>
    </row>
    <row r="803" spans="1:4" x14ac:dyDescent="0.25">
      <c r="A803" t="str">
        <f>T("   FR")</f>
        <v xml:space="preserve">   FR</v>
      </c>
      <c r="B803" t="str">
        <f>T("   France")</f>
        <v xml:space="preserve">   France</v>
      </c>
      <c r="C803">
        <v>555050</v>
      </c>
      <c r="D803">
        <v>290</v>
      </c>
    </row>
    <row r="804" spans="1:4" x14ac:dyDescent="0.25">
      <c r="A804" t="str">
        <f>T("   TG")</f>
        <v xml:space="preserve">   TG</v>
      </c>
      <c r="B804" t="str">
        <f>T("   Togo")</f>
        <v xml:space="preserve">   Togo</v>
      </c>
      <c r="C804">
        <v>641126</v>
      </c>
      <c r="D804">
        <v>185</v>
      </c>
    </row>
    <row r="805" spans="1:4" x14ac:dyDescent="0.25">
      <c r="A805" t="str">
        <f>T("   US")</f>
        <v xml:space="preserve">   US</v>
      </c>
      <c r="B805" t="str">
        <f>T("   Etats-Unis")</f>
        <v xml:space="preserve">   Etats-Unis</v>
      </c>
      <c r="C805">
        <v>3054570</v>
      </c>
      <c r="D805">
        <v>3767</v>
      </c>
    </row>
    <row r="806" spans="1:4" x14ac:dyDescent="0.25">
      <c r="A806" t="str">
        <f>T("621149")</f>
        <v>621149</v>
      </c>
      <c r="B806" t="str">
        <f>T("Survêtements de sport 'trainings' et autres vêtements n.d.a., de matières textiles, pour femmes ou fillettes (autres que de laine, poils fins, coton, fibres synthétiques ou artificielles, autres qu'en bonneterie)")</f>
        <v>Survêtements de sport 'trainings' et autres vêtements n.d.a., de matières textiles, pour femmes ou fillettes (autres que de laine, poils fins, coton, fibres synthétiques ou artificielles, autres qu'en bonneterie)</v>
      </c>
    </row>
    <row r="807" spans="1:4" x14ac:dyDescent="0.25">
      <c r="A807" t="str">
        <f>T("   ZZZ_Monde")</f>
        <v xml:space="preserve">   ZZZ_Monde</v>
      </c>
      <c r="B807" t="str">
        <f>T("   ZZZ_Monde")</f>
        <v xml:space="preserve">   ZZZ_Monde</v>
      </c>
      <c r="C807">
        <v>1500000</v>
      </c>
      <c r="D807">
        <v>7800</v>
      </c>
    </row>
    <row r="808" spans="1:4" x14ac:dyDescent="0.25">
      <c r="A808" t="str">
        <f>T("   SD")</f>
        <v xml:space="preserve">   SD</v>
      </c>
      <c r="B808" t="str">
        <f>T("   Soudan")</f>
        <v xml:space="preserve">   Soudan</v>
      </c>
      <c r="C808">
        <v>1500000</v>
      </c>
      <c r="D808">
        <v>7800</v>
      </c>
    </row>
    <row r="809" spans="1:4" x14ac:dyDescent="0.25">
      <c r="A809" t="str">
        <f>T("621490")</f>
        <v>621490</v>
      </c>
      <c r="B809" t="str">
        <f>T("Châles, écharpes, foulards, cache-nez, cache-col, mantilles, voiles et voilettes et articles simil., de matières textiles (autres que de laine, poils fins, fibres synthétiques ou artificielles, soie et déchets de soie et autres qu'en bonneterie)")</f>
        <v>Châles, écharpes, foulards, cache-nez, cache-col, mantilles, voiles et voilettes et articles simil., de matières textiles (autres que de laine, poils fins, fibres synthétiques ou artificielles, soie et déchets de soie et autres qu'en bonneterie)</v>
      </c>
    </row>
    <row r="810" spans="1:4" x14ac:dyDescent="0.25">
      <c r="A810" t="str">
        <f>T("   ZZZ_Monde")</f>
        <v xml:space="preserve">   ZZZ_Monde</v>
      </c>
      <c r="B810" t="str">
        <f>T("   ZZZ_Monde")</f>
        <v xml:space="preserve">   ZZZ_Monde</v>
      </c>
      <c r="C810">
        <v>1200000</v>
      </c>
      <c r="D810">
        <v>800</v>
      </c>
    </row>
    <row r="811" spans="1:4" x14ac:dyDescent="0.25">
      <c r="A811" t="str">
        <f>T("   DE")</f>
        <v xml:space="preserve">   DE</v>
      </c>
      <c r="B811" t="str">
        <f>T("   Allemagne")</f>
        <v xml:space="preserve">   Allemagne</v>
      </c>
      <c r="C811">
        <v>1200000</v>
      </c>
      <c r="D811">
        <v>800</v>
      </c>
    </row>
    <row r="812" spans="1:4" x14ac:dyDescent="0.25">
      <c r="A812" t="str">
        <f>T("630510")</f>
        <v>630510</v>
      </c>
      <c r="B812" t="str">
        <f>T("Sacs et sachets d'emballage de jute ou d'autres fibres textiles libériennes du n° 5303")</f>
        <v>Sacs et sachets d'emballage de jute ou d'autres fibres textiles libériennes du n° 5303</v>
      </c>
    </row>
    <row r="813" spans="1:4" x14ac:dyDescent="0.25">
      <c r="A813" t="str">
        <f>T("   ZZZ_Monde")</f>
        <v xml:space="preserve">   ZZZ_Monde</v>
      </c>
      <c r="B813" t="str">
        <f>T("   ZZZ_Monde")</f>
        <v xml:space="preserve">   ZZZ_Monde</v>
      </c>
      <c r="C813">
        <v>88794493</v>
      </c>
      <c r="D813">
        <v>159901</v>
      </c>
    </row>
    <row r="814" spans="1:4" x14ac:dyDescent="0.25">
      <c r="A814" t="str">
        <f>T("   IN")</f>
        <v xml:space="preserve">   IN</v>
      </c>
      <c r="B814" t="str">
        <f>T("   Inde")</f>
        <v xml:space="preserve">   Inde</v>
      </c>
      <c r="C814">
        <v>88794493</v>
      </c>
      <c r="D814">
        <v>159901</v>
      </c>
    </row>
    <row r="815" spans="1:4" x14ac:dyDescent="0.25">
      <c r="A815" t="str">
        <f>T("630533")</f>
        <v>630533</v>
      </c>
      <c r="B815" t="str">
        <f>T("Sacs et sachets d'emballage obtenus à partir de lames ou formes simil., de polyéthylène ou polypropylène (à l'excl. des contenants souples pour matières en vrac)")</f>
        <v>Sacs et sachets d'emballage obtenus à partir de lames ou formes simil., de polyéthylène ou polypropylène (à l'excl. des contenants souples pour matières en vrac)</v>
      </c>
    </row>
    <row r="816" spans="1:4" x14ac:dyDescent="0.25">
      <c r="A816" t="str">
        <f>T("   ZZZ_Monde")</f>
        <v xml:space="preserve">   ZZZ_Monde</v>
      </c>
      <c r="B816" t="str">
        <f>T("   ZZZ_Monde")</f>
        <v xml:space="preserve">   ZZZ_Monde</v>
      </c>
      <c r="C816">
        <v>45500000</v>
      </c>
      <c r="D816">
        <v>16660</v>
      </c>
    </row>
    <row r="817" spans="1:4" x14ac:dyDescent="0.25">
      <c r="A817" t="str">
        <f>T("   CI")</f>
        <v xml:space="preserve">   CI</v>
      </c>
      <c r="B817" t="str">
        <f>T("   Côte d'Ivoire")</f>
        <v xml:space="preserve">   Côte d'Ivoire</v>
      </c>
      <c r="C817">
        <v>45500000</v>
      </c>
      <c r="D817">
        <v>16660</v>
      </c>
    </row>
    <row r="818" spans="1:4" x14ac:dyDescent="0.25">
      <c r="A818" t="str">
        <f>T("630539")</f>
        <v>630539</v>
      </c>
      <c r="B818" t="str">
        <f>T("Sacs et sachets d'emballage de matières synthétiques ou artificielles (autres qu'en lames ou formes simil. de polyéthylène ou de polypropylène ainsi que contenants souples pour matières en vrac)")</f>
        <v>Sacs et sachets d'emballage de matières synthétiques ou artificielles (autres qu'en lames ou formes simil. de polyéthylène ou de polypropylène ainsi que contenants souples pour matières en vrac)</v>
      </c>
    </row>
    <row r="819" spans="1:4" x14ac:dyDescent="0.25">
      <c r="A819" t="str">
        <f>T("   ZZZ_Monde")</f>
        <v xml:space="preserve">   ZZZ_Monde</v>
      </c>
      <c r="B819" t="str">
        <f>T("   ZZZ_Monde")</f>
        <v xml:space="preserve">   ZZZ_Monde</v>
      </c>
      <c r="C819">
        <v>41000</v>
      </c>
      <c r="D819">
        <v>85</v>
      </c>
    </row>
    <row r="820" spans="1:4" x14ac:dyDescent="0.25">
      <c r="A820" t="str">
        <f>T("   CD")</f>
        <v xml:space="preserve">   CD</v>
      </c>
      <c r="B820" t="str">
        <f>T("   Congo, République Démocratique")</f>
        <v xml:space="preserve">   Congo, République Démocratique</v>
      </c>
      <c r="C820">
        <v>41000</v>
      </c>
      <c r="D820">
        <v>85</v>
      </c>
    </row>
    <row r="821" spans="1:4" x14ac:dyDescent="0.25">
      <c r="A821" t="str">
        <f>T("630720")</f>
        <v>630720</v>
      </c>
      <c r="B821" t="str">
        <f>T("Ceintures et gilets de sauvetage en tous types de matières textiles")</f>
        <v>Ceintures et gilets de sauvetage en tous types de matières textiles</v>
      </c>
    </row>
    <row r="822" spans="1:4" x14ac:dyDescent="0.25">
      <c r="A822" t="str">
        <f>T("   ZZZ_Monde")</f>
        <v xml:space="preserve">   ZZZ_Monde</v>
      </c>
      <c r="B822" t="str">
        <f>T("   ZZZ_Monde")</f>
        <v xml:space="preserve">   ZZZ_Monde</v>
      </c>
      <c r="C822">
        <v>1508052</v>
      </c>
      <c r="D822">
        <v>114</v>
      </c>
    </row>
    <row r="823" spans="1:4" x14ac:dyDescent="0.25">
      <c r="A823" t="str">
        <f>T("   FR")</f>
        <v xml:space="preserve">   FR</v>
      </c>
      <c r="B823" t="str">
        <f>T("   France")</f>
        <v xml:space="preserve">   France</v>
      </c>
      <c r="C823">
        <v>1508052</v>
      </c>
      <c r="D823">
        <v>114</v>
      </c>
    </row>
    <row r="824" spans="1:4" x14ac:dyDescent="0.25">
      <c r="A824" t="str">
        <f>T("630790")</f>
        <v>630790</v>
      </c>
      <c r="B824" t="str">
        <f>T("Articles de matières textiles, confectionnés, y.c. les patrons de vêtements n.d.a.")</f>
        <v>Articles de matières textiles, confectionnés, y.c. les patrons de vêtements n.d.a.</v>
      </c>
    </row>
    <row r="825" spans="1:4" x14ac:dyDescent="0.25">
      <c r="A825" t="str">
        <f>T("   ZZZ_Monde")</f>
        <v xml:space="preserve">   ZZZ_Monde</v>
      </c>
      <c r="B825" t="str">
        <f>T("   ZZZ_Monde")</f>
        <v xml:space="preserve">   ZZZ_Monde</v>
      </c>
      <c r="C825">
        <v>72317</v>
      </c>
      <c r="D825">
        <v>5</v>
      </c>
    </row>
    <row r="826" spans="1:4" x14ac:dyDescent="0.25">
      <c r="A826" t="str">
        <f>T("   CI")</f>
        <v xml:space="preserve">   CI</v>
      </c>
      <c r="B826" t="str">
        <f>T("   Côte d'Ivoire")</f>
        <v xml:space="preserve">   Côte d'Ivoire</v>
      </c>
      <c r="C826">
        <v>72317</v>
      </c>
      <c r="D826">
        <v>5</v>
      </c>
    </row>
    <row r="827" spans="1:4" x14ac:dyDescent="0.25">
      <c r="A827" t="str">
        <f>T("630900")</f>
        <v>630900</v>
      </c>
      <c r="B827" t="str">
        <f>T("Articles de friperie composés de vêtements, accessoires du vêtement, couvertures, linge de maison et articles d'aménagement intérieur, en tous types de matières textiles, y.c. les chaussures et coiffures de tous genres, manifestement usagés et présentés e")</f>
        <v>Articles de friperie composés de vêtements, accessoires du vêtement, couvertures, linge de maison et articles d'aménagement intérieur, en tous types de matières textiles, y.c. les chaussures et coiffures de tous genres, manifestement usagés et présentés e</v>
      </c>
    </row>
    <row r="828" spans="1:4" x14ac:dyDescent="0.25">
      <c r="A828" t="str">
        <f>T("   ZZZ_Monde")</f>
        <v xml:space="preserve">   ZZZ_Monde</v>
      </c>
      <c r="B828" t="str">
        <f>T("   ZZZ_Monde")</f>
        <v xml:space="preserve">   ZZZ_Monde</v>
      </c>
      <c r="C828">
        <v>19166541</v>
      </c>
      <c r="D828">
        <v>22544</v>
      </c>
    </row>
    <row r="829" spans="1:4" x14ac:dyDescent="0.25">
      <c r="A829" t="str">
        <f>T("   CI")</f>
        <v xml:space="preserve">   CI</v>
      </c>
      <c r="B829" t="str">
        <f>T("   Côte d'Ivoire")</f>
        <v xml:space="preserve">   Côte d'Ivoire</v>
      </c>
      <c r="C829">
        <v>12100000</v>
      </c>
      <c r="D829">
        <v>19000</v>
      </c>
    </row>
    <row r="830" spans="1:4" x14ac:dyDescent="0.25">
      <c r="A830" t="str">
        <f>T("   GH")</f>
        <v xml:space="preserve">   GH</v>
      </c>
      <c r="B830" t="str">
        <f>T("   Ghana")</f>
        <v xml:space="preserve">   Ghana</v>
      </c>
      <c r="C830">
        <v>4066541</v>
      </c>
      <c r="D830">
        <v>3124</v>
      </c>
    </row>
    <row r="831" spans="1:4" x14ac:dyDescent="0.25">
      <c r="A831" t="str">
        <f>T("   TG")</f>
        <v xml:space="preserve">   TG</v>
      </c>
      <c r="B831" t="str">
        <f>T("   Togo")</f>
        <v xml:space="preserve">   Togo</v>
      </c>
      <c r="C831">
        <v>3000000</v>
      </c>
      <c r="D831">
        <v>420</v>
      </c>
    </row>
    <row r="832" spans="1:4" x14ac:dyDescent="0.25">
      <c r="A832" t="str">
        <f>T("631090")</f>
        <v>631090</v>
      </c>
      <c r="B832" t="str">
        <f>T("Chiffons en tous types de matières textiles ainsi que ficelles, cordes et cordages et articles composés de ceux-ci, de matières textiles, sous forme de déchets ou d'articles hors d'usage, non triés")</f>
        <v>Chiffons en tous types de matières textiles ainsi que ficelles, cordes et cordages et articles composés de ceux-ci, de matières textiles, sous forme de déchets ou d'articles hors d'usage, non triés</v>
      </c>
    </row>
    <row r="833" spans="1:4" x14ac:dyDescent="0.25">
      <c r="A833" t="str">
        <f>T("   ZZZ_Monde")</f>
        <v xml:space="preserve">   ZZZ_Monde</v>
      </c>
      <c r="B833" t="str">
        <f>T("   ZZZ_Monde")</f>
        <v xml:space="preserve">   ZZZ_Monde</v>
      </c>
      <c r="C833">
        <v>2000000</v>
      </c>
      <c r="D833">
        <v>30000</v>
      </c>
    </row>
    <row r="834" spans="1:4" x14ac:dyDescent="0.25">
      <c r="A834" t="str">
        <f>T("   IN")</f>
        <v xml:space="preserve">   IN</v>
      </c>
      <c r="B834" t="str">
        <f>T("   Inde")</f>
        <v xml:space="preserve">   Inde</v>
      </c>
      <c r="C834">
        <v>2000000</v>
      </c>
      <c r="D834">
        <v>30000</v>
      </c>
    </row>
    <row r="835" spans="1:4" x14ac:dyDescent="0.25">
      <c r="A835" t="str">
        <f>T("640199")</f>
        <v>640199</v>
      </c>
      <c r="B835" t="str">
        <f>T("Chaussures étanches, à semelles extérieures et dessus en caoutchouc ou en matière plastique, dont le dessus n'a été ni réuni à la semelle extérieure par couture ou par rivets, clous, vis, tétons ou dispositifs simil., ni formé de différentes parties assem")</f>
        <v>Chaussures étanches, à semelles extérieures et dessus en caoutchouc ou en matière plastique, dont le dessus n'a été ni réuni à la semelle extérieure par couture ou par rivets, clous, vis, tétons ou dispositifs simil., ni formé de différentes parties assem</v>
      </c>
    </row>
    <row r="836" spans="1:4" x14ac:dyDescent="0.25">
      <c r="A836" t="str">
        <f>T("   ZZZ_Monde")</f>
        <v xml:space="preserve">   ZZZ_Monde</v>
      </c>
      <c r="B836" t="str">
        <f>T("   ZZZ_Monde")</f>
        <v xml:space="preserve">   ZZZ_Monde</v>
      </c>
      <c r="C836">
        <v>3300000</v>
      </c>
      <c r="D836">
        <v>5025</v>
      </c>
    </row>
    <row r="837" spans="1:4" x14ac:dyDescent="0.25">
      <c r="A837" t="str">
        <f>T("   NE")</f>
        <v xml:space="preserve">   NE</v>
      </c>
      <c r="B837" t="str">
        <f>T("   Niger")</f>
        <v xml:space="preserve">   Niger</v>
      </c>
      <c r="C837">
        <v>3300000</v>
      </c>
      <c r="D837">
        <v>5025</v>
      </c>
    </row>
    <row r="838" spans="1:4" x14ac:dyDescent="0.25">
      <c r="A838" t="str">
        <f>T("640299")</f>
        <v>640299</v>
      </c>
      <c r="B838" t="str">
        <f>T("CHAUSSURES À SEMELLES EXTÉRIEURES ET DESSUS EN CAOUTCHOUC OU EN MATIÈRES PLASTIQUES (SAUF COUVRANT LA CHEVILLE OU À DESSUS EN LANIÈRES OU BRIDES FIXÉES À LA SEMELLE PAR DES TÉTONS AINSI QUE DES CHAUSSURES ÉTANCHES DU N° 6401, DES CHAUSSURES D'ORTHOPÉDIE E")</f>
        <v>CHAUSSURES À SEMELLES EXTÉRIEURES ET DESSUS EN CAOUTCHOUC OU EN MATIÈRES PLASTIQUES (SAUF COUVRANT LA CHEVILLE OU À DESSUS EN LANIÈRES OU BRIDES FIXÉES À LA SEMELLE PAR DES TÉTONS AINSI QUE DES CHAUSSURES ÉTANCHES DU N° 6401, DES CHAUSSURES D'ORTHOPÉDIE E</v>
      </c>
    </row>
    <row r="839" spans="1:4" x14ac:dyDescent="0.25">
      <c r="A839" t="str">
        <f>T("   ZZZ_Monde")</f>
        <v xml:space="preserve">   ZZZ_Monde</v>
      </c>
      <c r="B839" t="str">
        <f>T("   ZZZ_Monde")</f>
        <v xml:space="preserve">   ZZZ_Monde</v>
      </c>
      <c r="C839">
        <v>2625260</v>
      </c>
      <c r="D839">
        <v>1500</v>
      </c>
    </row>
    <row r="840" spans="1:4" x14ac:dyDescent="0.25">
      <c r="A840" t="str">
        <f>T("   FR")</f>
        <v xml:space="preserve">   FR</v>
      </c>
      <c r="B840" t="str">
        <f>T("   France")</f>
        <v xml:space="preserve">   France</v>
      </c>
      <c r="C840">
        <v>2625260</v>
      </c>
      <c r="D840">
        <v>1500</v>
      </c>
    </row>
    <row r="841" spans="1:4" x14ac:dyDescent="0.25">
      <c r="A841" t="str">
        <f>T("640590")</f>
        <v>640590</v>
      </c>
      <c r="B841" t="str">
        <f>T("CHAUSSURES À SEMELLES EXTÉRIEURES EN CAOUTCHOUC OU EN MATIÈRE PLASTIQUE ET À DESSUS EN AUTRES MATIÈRES QUE CAOUTCHOUC, MATIÈRE PLASTIQUE, CUIR OU MATIÈRES TEXTILES; CHAUSSURES À SEMELLES EXTÉRIEURES EN CUIR NATUREL OU RECONSTITUÉ ET À DESSUS EN D'AUTRES M")</f>
        <v>CHAUSSURES À SEMELLES EXTÉRIEURES EN CAOUTCHOUC OU EN MATIÈRE PLASTIQUE ET À DESSUS EN AUTRES MATIÈRES QUE CAOUTCHOUC, MATIÈRE PLASTIQUE, CUIR OU MATIÈRES TEXTILES; CHAUSSURES À SEMELLES EXTÉRIEURES EN CUIR NATUREL OU RECONSTITUÉ ET À DESSUS EN D'AUTRES M</v>
      </c>
    </row>
    <row r="842" spans="1:4" x14ac:dyDescent="0.25">
      <c r="A842" t="str">
        <f>T("   ZZZ_Monde")</f>
        <v xml:space="preserve">   ZZZ_Monde</v>
      </c>
      <c r="B842" t="str">
        <f>T("   ZZZ_Monde")</f>
        <v xml:space="preserve">   ZZZ_Monde</v>
      </c>
      <c r="C842">
        <v>8000000</v>
      </c>
      <c r="D842">
        <v>18000</v>
      </c>
    </row>
    <row r="843" spans="1:4" x14ac:dyDescent="0.25">
      <c r="A843" t="str">
        <f>T("   SN")</f>
        <v xml:space="preserve">   SN</v>
      </c>
      <c r="B843" t="str">
        <f>T("   Sénégal")</f>
        <v xml:space="preserve">   Sénégal</v>
      </c>
      <c r="C843">
        <v>8000000</v>
      </c>
      <c r="D843">
        <v>18000</v>
      </c>
    </row>
    <row r="844" spans="1:4" x14ac:dyDescent="0.25">
      <c r="A844" t="str">
        <f>T("660199")</f>
        <v>660199</v>
      </c>
      <c r="B844" t="str">
        <f>T("Parapluies, y.c. les parapluies-cannes et ombrelles (sauf parapluies et ombrelles à mât ou à manche télescopique, parasols de jardin et articles simil. et sauf jouets d'enfants)")</f>
        <v>Parapluies, y.c. les parapluies-cannes et ombrelles (sauf parapluies et ombrelles à mât ou à manche télescopique, parasols de jardin et articles simil. et sauf jouets d'enfants)</v>
      </c>
    </row>
    <row r="845" spans="1:4" x14ac:dyDescent="0.25">
      <c r="A845" t="str">
        <f>T("   ZZZ_Monde")</f>
        <v xml:space="preserve">   ZZZ_Monde</v>
      </c>
      <c r="B845" t="str">
        <f>T("   ZZZ_Monde")</f>
        <v xml:space="preserve">   ZZZ_Monde</v>
      </c>
      <c r="C845">
        <v>40500000</v>
      </c>
      <c r="D845">
        <v>4767</v>
      </c>
    </row>
    <row r="846" spans="1:4" x14ac:dyDescent="0.25">
      <c r="A846" t="str">
        <f>T("   FR")</f>
        <v xml:space="preserve">   FR</v>
      </c>
      <c r="B846" t="str">
        <f>T("   France")</f>
        <v xml:space="preserve">   France</v>
      </c>
      <c r="C846">
        <v>13500000</v>
      </c>
      <c r="D846">
        <v>1589</v>
      </c>
    </row>
    <row r="847" spans="1:4" x14ac:dyDescent="0.25">
      <c r="A847" t="str">
        <f>T("   ML")</f>
        <v xml:space="preserve">   ML</v>
      </c>
      <c r="B847" t="str">
        <f>T("   Mali")</f>
        <v xml:space="preserve">   Mali</v>
      </c>
      <c r="C847">
        <v>27000000</v>
      </c>
      <c r="D847">
        <v>3178</v>
      </c>
    </row>
    <row r="848" spans="1:4" x14ac:dyDescent="0.25">
      <c r="A848" t="str">
        <f>T("680100")</f>
        <v>680100</v>
      </c>
      <c r="B848" t="str">
        <f>T("Pavés, bordures de trottoirs et dalles de pavage, en pierres naturelles (autres que l'ardoise)")</f>
        <v>Pavés, bordures de trottoirs et dalles de pavage, en pierres naturelles (autres que l'ardoise)</v>
      </c>
    </row>
    <row r="849" spans="1:4" x14ac:dyDescent="0.25">
      <c r="A849" t="str">
        <f>T("   ZZZ_Monde")</f>
        <v xml:space="preserve">   ZZZ_Monde</v>
      </c>
      <c r="B849" t="str">
        <f>T("   ZZZ_Monde")</f>
        <v xml:space="preserve">   ZZZ_Monde</v>
      </c>
      <c r="C849">
        <v>7600</v>
      </c>
      <c r="D849">
        <v>650</v>
      </c>
    </row>
    <row r="850" spans="1:4" x14ac:dyDescent="0.25">
      <c r="A850" t="str">
        <f>T("   CI")</f>
        <v xml:space="preserve">   CI</v>
      </c>
      <c r="B850" t="str">
        <f>T("   Côte d'Ivoire")</f>
        <v xml:space="preserve">   Côte d'Ivoire</v>
      </c>
      <c r="C850">
        <v>7600</v>
      </c>
      <c r="D850">
        <v>650</v>
      </c>
    </row>
    <row r="851" spans="1:4" x14ac:dyDescent="0.25">
      <c r="A851" t="str">
        <f>T("680222")</f>
        <v>680222</v>
      </c>
      <c r="B851" t="str">
        <f>T("Pierres calcaires autres que marbre, travertin et albâtre et ouvrages en ces pierres, simplement taillés ou sciés et à surface plane ou unie (sauf à surface entièrement ou partiellement rabotée, poncée au papier sablé, grossièrement ou finement meulée ou")</f>
        <v>Pierres calcaires autres que marbre, travertin et albâtre et ouvrages en ces pierres, simplement taillés ou sciés et à surface plane ou unie (sauf à surface entièrement ou partiellement rabotée, poncée au papier sablé, grossièrement ou finement meulée ou</v>
      </c>
    </row>
    <row r="852" spans="1:4" x14ac:dyDescent="0.25">
      <c r="A852" t="str">
        <f>T("   ZZZ_Monde")</f>
        <v xml:space="preserve">   ZZZ_Monde</v>
      </c>
      <c r="B852" t="str">
        <f>T("   ZZZ_Monde")</f>
        <v xml:space="preserve">   ZZZ_Monde</v>
      </c>
      <c r="C852">
        <v>2200000</v>
      </c>
      <c r="D852">
        <v>44000</v>
      </c>
    </row>
    <row r="853" spans="1:4" x14ac:dyDescent="0.25">
      <c r="A853" t="str">
        <f>T("   SN")</f>
        <v xml:space="preserve">   SN</v>
      </c>
      <c r="B853" t="str">
        <f>T("   Sénégal")</f>
        <v xml:space="preserve">   Sénégal</v>
      </c>
      <c r="C853">
        <v>2200000</v>
      </c>
      <c r="D853">
        <v>44000</v>
      </c>
    </row>
    <row r="854" spans="1:4" x14ac:dyDescent="0.25">
      <c r="A854" t="str">
        <f>T("680229")</f>
        <v>680229</v>
      </c>
      <c r="B854" t="str">
        <f>T("Pierres de taille ou de construction, naturelles, autres que les pierres calcaires, le granit et l'ardoise et ouvrages en ces pierres, simplement taillées ou sciées et à surface plane ou unie (sauf à surface entièrement ou partiellement rabotée, poncée au")</f>
        <v>Pierres de taille ou de construction, naturelles, autres que les pierres calcaires, le granit et l'ardoise et ouvrages en ces pierres, simplement taillées ou sciées et à surface plane ou unie (sauf à surface entièrement ou partiellement rabotée, poncée au</v>
      </c>
    </row>
    <row r="855" spans="1:4" x14ac:dyDescent="0.25">
      <c r="A855" t="str">
        <f>T("   ZZZ_Monde")</f>
        <v xml:space="preserve">   ZZZ_Monde</v>
      </c>
      <c r="B855" t="str">
        <f>T("   ZZZ_Monde")</f>
        <v xml:space="preserve">   ZZZ_Monde</v>
      </c>
      <c r="C855">
        <v>4243942</v>
      </c>
      <c r="D855">
        <v>15000</v>
      </c>
    </row>
    <row r="856" spans="1:4" x14ac:dyDescent="0.25">
      <c r="A856" t="str">
        <f>T("   FR")</f>
        <v xml:space="preserve">   FR</v>
      </c>
      <c r="B856" t="str">
        <f>T("   France")</f>
        <v xml:space="preserve">   France</v>
      </c>
      <c r="C856">
        <v>4243942</v>
      </c>
      <c r="D856">
        <v>15000</v>
      </c>
    </row>
    <row r="857" spans="1:4" x14ac:dyDescent="0.25">
      <c r="A857" t="str">
        <f>T("680911")</f>
        <v>680911</v>
      </c>
      <c r="B857" t="str">
        <f>T("Planches, plaques, panneaux, carreaux et articles simil., en plâtre ou en compositions à base de plâtre, non ornementés, revêtus ou renforcés de papier ou de carton uniquement (sauf ouvrages à liaison en plâtre à usage d'isolants thermiques ou sonores ou")</f>
        <v>Planches, plaques, panneaux, carreaux et articles simil., en plâtre ou en compositions à base de plâtre, non ornementés, revêtus ou renforcés de papier ou de carton uniquement (sauf ouvrages à liaison en plâtre à usage d'isolants thermiques ou sonores ou</v>
      </c>
    </row>
    <row r="858" spans="1:4" x14ac:dyDescent="0.25">
      <c r="A858" t="str">
        <f>T("   ZZZ_Monde")</f>
        <v xml:space="preserve">   ZZZ_Monde</v>
      </c>
      <c r="B858" t="str">
        <f>T("   ZZZ_Monde")</f>
        <v xml:space="preserve">   ZZZ_Monde</v>
      </c>
      <c r="C858">
        <v>2072879</v>
      </c>
      <c r="D858">
        <v>399</v>
      </c>
    </row>
    <row r="859" spans="1:4" x14ac:dyDescent="0.25">
      <c r="A859" t="str">
        <f>T("   GB")</f>
        <v xml:space="preserve">   GB</v>
      </c>
      <c r="B859" t="str">
        <f>T("   Royaume-Uni")</f>
        <v xml:space="preserve">   Royaume-Uni</v>
      </c>
      <c r="C859">
        <v>2072879</v>
      </c>
      <c r="D859">
        <v>399</v>
      </c>
    </row>
    <row r="860" spans="1:4" x14ac:dyDescent="0.25">
      <c r="A860" t="str">
        <f>T("681019")</f>
        <v>681019</v>
      </c>
      <c r="B860" t="str">
        <f>T("Tuiles, carreaux, dalles et articles simil., en ciment, en béton ou en pierre artificielle (autres que blocs et briques pour la construction)")</f>
        <v>Tuiles, carreaux, dalles et articles simil., en ciment, en béton ou en pierre artificielle (autres que blocs et briques pour la construction)</v>
      </c>
    </row>
    <row r="861" spans="1:4" x14ac:dyDescent="0.25">
      <c r="A861" t="str">
        <f>T("   ZZZ_Monde")</f>
        <v xml:space="preserve">   ZZZ_Monde</v>
      </c>
      <c r="B861" t="str">
        <f>T("   ZZZ_Monde")</f>
        <v xml:space="preserve">   ZZZ_Monde</v>
      </c>
      <c r="C861">
        <v>66918400</v>
      </c>
      <c r="D861">
        <v>484424</v>
      </c>
    </row>
    <row r="862" spans="1:4" x14ac:dyDescent="0.25">
      <c r="A862" t="str">
        <f>T("   BF")</f>
        <v xml:space="preserve">   BF</v>
      </c>
      <c r="B862" t="str">
        <f>T("   Burkina Faso")</f>
        <v xml:space="preserve">   Burkina Faso</v>
      </c>
      <c r="C862">
        <v>11088000</v>
      </c>
      <c r="D862">
        <v>39656</v>
      </c>
    </row>
    <row r="863" spans="1:4" x14ac:dyDescent="0.25">
      <c r="A863" t="str">
        <f>T("   CI")</f>
        <v xml:space="preserve">   CI</v>
      </c>
      <c r="B863" t="str">
        <f>T("   Côte d'Ivoire")</f>
        <v xml:space="preserve">   Côte d'Ivoire</v>
      </c>
      <c r="C863">
        <v>18406400</v>
      </c>
      <c r="D863">
        <v>83396</v>
      </c>
    </row>
    <row r="864" spans="1:4" x14ac:dyDescent="0.25">
      <c r="A864" t="str">
        <f>T("   ML")</f>
        <v xml:space="preserve">   ML</v>
      </c>
      <c r="B864" t="str">
        <f>T("   Mali")</f>
        <v xml:space="preserve">   Mali</v>
      </c>
      <c r="C864">
        <v>3612000</v>
      </c>
      <c r="D864">
        <v>40421</v>
      </c>
    </row>
    <row r="865" spans="1:4" x14ac:dyDescent="0.25">
      <c r="A865" t="str">
        <f>T("   TG")</f>
        <v xml:space="preserve">   TG</v>
      </c>
      <c r="B865" t="str">
        <f>T("   Togo")</f>
        <v xml:space="preserve">   Togo</v>
      </c>
      <c r="C865">
        <v>33812000</v>
      </c>
      <c r="D865">
        <v>320951</v>
      </c>
    </row>
    <row r="866" spans="1:4" x14ac:dyDescent="0.25">
      <c r="A866" t="str">
        <f>T("690510")</f>
        <v>690510</v>
      </c>
      <c r="B866" t="str">
        <f>T("Tuiles")</f>
        <v>Tuiles</v>
      </c>
    </row>
    <row r="867" spans="1:4" x14ac:dyDescent="0.25">
      <c r="A867" t="str">
        <f>T("   ZZZ_Monde")</f>
        <v xml:space="preserve">   ZZZ_Monde</v>
      </c>
      <c r="B867" t="str">
        <f>T("   ZZZ_Monde")</f>
        <v xml:space="preserve">   ZZZ_Monde</v>
      </c>
      <c r="C867">
        <v>140901</v>
      </c>
      <c r="D867">
        <v>1200</v>
      </c>
    </row>
    <row r="868" spans="1:4" x14ac:dyDescent="0.25">
      <c r="A868" t="str">
        <f>T("   NE")</f>
        <v xml:space="preserve">   NE</v>
      </c>
      <c r="B868" t="str">
        <f>T("   Niger")</f>
        <v xml:space="preserve">   Niger</v>
      </c>
      <c r="C868">
        <v>140901</v>
      </c>
      <c r="D868">
        <v>1200</v>
      </c>
    </row>
    <row r="869" spans="1:4" x14ac:dyDescent="0.25">
      <c r="A869" t="str">
        <f>T("690810")</f>
        <v>690810</v>
      </c>
      <c r="B869" t="str">
        <f>T("Carreaux, cubes, dés et simil., en céramique, pour mosaïques, vernissés ou émaillés, même de forme autre que carrée ou rectangulaire, dont la plus grande surface peut être inscrite dans un carré de côté &lt; 7 cm, même sur support")</f>
        <v>Carreaux, cubes, dés et simil., en céramique, pour mosaïques, vernissés ou émaillés, même de forme autre que carrée ou rectangulaire, dont la plus grande surface peut être inscrite dans un carré de côté &lt; 7 cm, même sur support</v>
      </c>
    </row>
    <row r="870" spans="1:4" x14ac:dyDescent="0.25">
      <c r="A870" t="str">
        <f>T("   ZZZ_Monde")</f>
        <v xml:space="preserve">   ZZZ_Monde</v>
      </c>
      <c r="B870" t="str">
        <f>T("   ZZZ_Monde")</f>
        <v xml:space="preserve">   ZZZ_Monde</v>
      </c>
      <c r="C870">
        <v>500000</v>
      </c>
      <c r="D870">
        <v>2000</v>
      </c>
    </row>
    <row r="871" spans="1:4" x14ac:dyDescent="0.25">
      <c r="A871" t="str">
        <f>T("   NE")</f>
        <v xml:space="preserve">   NE</v>
      </c>
      <c r="B871" t="str">
        <f>T("   Niger")</f>
        <v xml:space="preserve">   Niger</v>
      </c>
      <c r="C871">
        <v>500000</v>
      </c>
      <c r="D871">
        <v>2000</v>
      </c>
    </row>
    <row r="872" spans="1:4" x14ac:dyDescent="0.25">
      <c r="A872" t="str">
        <f>T("690890")</f>
        <v>690890</v>
      </c>
      <c r="B872" t="str">
        <f>T("Carreaux et dalles de pavement ou de revêtement, en céramique, vernissés ou émaillés (sauf articles en farines siliceuses fossiles ou en terres siliceuses analogues, articles céramiques réfractaires, carreaux servant de dessous-de-plat, objets d'ornementa")</f>
        <v>Carreaux et dalles de pavement ou de revêtement, en céramique, vernissés ou émaillés (sauf articles en farines siliceuses fossiles ou en terres siliceuses analogues, articles céramiques réfractaires, carreaux servant de dessous-de-plat, objets d'ornementa</v>
      </c>
    </row>
    <row r="873" spans="1:4" x14ac:dyDescent="0.25">
      <c r="A873" t="str">
        <f>T("   ZZZ_Monde")</f>
        <v xml:space="preserve">   ZZZ_Monde</v>
      </c>
      <c r="B873" t="str">
        <f>T("   ZZZ_Monde")</f>
        <v xml:space="preserve">   ZZZ_Monde</v>
      </c>
      <c r="C873">
        <v>880629</v>
      </c>
      <c r="D873">
        <v>4000</v>
      </c>
    </row>
    <row r="874" spans="1:4" x14ac:dyDescent="0.25">
      <c r="A874" t="str">
        <f>T("   NE")</f>
        <v xml:space="preserve">   NE</v>
      </c>
      <c r="B874" t="str">
        <f>T("   Niger")</f>
        <v xml:space="preserve">   Niger</v>
      </c>
      <c r="C874">
        <v>880629</v>
      </c>
      <c r="D874">
        <v>4000</v>
      </c>
    </row>
    <row r="875" spans="1:4" x14ac:dyDescent="0.25">
      <c r="A875" t="str">
        <f>T("691200")</f>
        <v>691200</v>
      </c>
      <c r="B875" t="str">
        <f>T("Vaisselle, autres articles de ménage ou d'économie domestique et articles d'hygiène ou de toilette en céramique, autres que la porcelaine (sauf baignoires, bidets, éviers et autres appareils fixes simil.; statuettes et autres objets d'ornementation; cruch")</f>
        <v>Vaisselle, autres articles de ménage ou d'économie domestique et articles d'hygiène ou de toilette en céramique, autres que la porcelaine (sauf baignoires, bidets, éviers et autres appareils fixes simil.; statuettes et autres objets d'ornementation; cruch</v>
      </c>
    </row>
    <row r="876" spans="1:4" x14ac:dyDescent="0.25">
      <c r="A876" t="str">
        <f>T("   ZZZ_Monde")</f>
        <v xml:space="preserve">   ZZZ_Monde</v>
      </c>
      <c r="B876" t="str">
        <f>T("   ZZZ_Monde")</f>
        <v xml:space="preserve">   ZZZ_Monde</v>
      </c>
      <c r="C876">
        <v>1424000</v>
      </c>
      <c r="D876">
        <v>11000</v>
      </c>
    </row>
    <row r="877" spans="1:4" x14ac:dyDescent="0.25">
      <c r="A877" t="str">
        <f>T("   CG")</f>
        <v xml:space="preserve">   CG</v>
      </c>
      <c r="B877" t="str">
        <f>T("   Congo (Brazzaville)")</f>
        <v xml:space="preserve">   Congo (Brazzaville)</v>
      </c>
      <c r="C877">
        <v>1424000</v>
      </c>
      <c r="D877">
        <v>11000</v>
      </c>
    </row>
    <row r="878" spans="1:4" x14ac:dyDescent="0.25">
      <c r="A878" t="str">
        <f>T("700529")</f>
        <v>700529</v>
      </c>
      <c r="B878" t="str">
        <f>T("PLAQUES OU FEUILLES EN GLACE [VERRE FLOTTÉ ET VERRE DOUCI ET POLI SUR UNE OU DEUX FACES], NON AUTREMENT TRAVAILLÉE (AUTRE QU'ARMÉE, COLORÉE DANS LA MASSE, OPACIFIÉE, PLAQUÉE [DOUBLÉE] OU SIMPL. DOUCIE, OU À COUCHE ABSORBANTE, RÉFLÉCHISSANTE OU NON-RÉFLÉCH")</f>
        <v>PLAQUES OU FEUILLES EN GLACE [VERRE FLOTTÉ ET VERRE DOUCI ET POLI SUR UNE OU DEUX FACES], NON AUTREMENT TRAVAILLÉE (AUTRE QU'ARMÉE, COLORÉE DANS LA MASSE, OPACIFIÉE, PLAQUÉE [DOUBLÉE] OU SIMPL. DOUCIE, OU À COUCHE ABSORBANTE, RÉFLÉCHISSANTE OU NON-RÉFLÉCH</v>
      </c>
    </row>
    <row r="879" spans="1:4" x14ac:dyDescent="0.25">
      <c r="A879" t="str">
        <f>T("   ZZZ_Monde")</f>
        <v xml:space="preserve">   ZZZ_Monde</v>
      </c>
      <c r="B879" t="str">
        <f>T("   ZZZ_Monde")</f>
        <v xml:space="preserve">   ZZZ_Monde</v>
      </c>
      <c r="C879">
        <v>11582547</v>
      </c>
      <c r="D879">
        <v>25927</v>
      </c>
    </row>
    <row r="880" spans="1:4" x14ac:dyDescent="0.25">
      <c r="A880" t="str">
        <f>T("   BE")</f>
        <v xml:space="preserve">   BE</v>
      </c>
      <c r="B880" t="str">
        <f>T("   Belgique")</f>
        <v xml:space="preserve">   Belgique</v>
      </c>
      <c r="C880">
        <v>3610112</v>
      </c>
      <c r="D880">
        <v>1264</v>
      </c>
    </row>
    <row r="881" spans="1:4" x14ac:dyDescent="0.25">
      <c r="A881" t="str">
        <f>T("   CI")</f>
        <v xml:space="preserve">   CI</v>
      </c>
      <c r="B881" t="str">
        <f>T("   Côte d'Ivoire")</f>
        <v xml:space="preserve">   Côte d'Ivoire</v>
      </c>
      <c r="C881">
        <v>6120763</v>
      </c>
      <c r="D881">
        <v>23204</v>
      </c>
    </row>
    <row r="882" spans="1:4" x14ac:dyDescent="0.25">
      <c r="A882" t="str">
        <f>T("   US")</f>
        <v xml:space="preserve">   US</v>
      </c>
      <c r="B882" t="str">
        <f>T("   Etats-Unis")</f>
        <v xml:space="preserve">   Etats-Unis</v>
      </c>
      <c r="C882">
        <v>1851672</v>
      </c>
      <c r="D882">
        <v>1459</v>
      </c>
    </row>
    <row r="883" spans="1:4" x14ac:dyDescent="0.25">
      <c r="A883" t="str">
        <f>T("700721")</f>
        <v>700721</v>
      </c>
      <c r="B883" t="str">
        <f>T("VERRES FORMÉS DE FEUILLES CONTRECOLLÉES, DE DIMENSIONS ET FORMATS PERMETTANT LEUR EMPLOI DANS LES AUTOMOBILES, VÉHICULES AÉRIENS, BATEAUX OU AUTRES VÉHICULES (À L'EXCL. DES VITRAGES ISOLANTS À PAROIS MULTIPLES) [01/01/1988-31/12/1988: PARE-BRISE FORMES DE")</f>
        <v>VERRES FORMÉS DE FEUILLES CONTRECOLLÉES, DE DIMENSIONS ET FORMATS PERMETTANT LEUR EMPLOI DANS LES AUTOMOBILES, VÉHICULES AÉRIENS, BATEAUX OU AUTRES VÉHICULES (À L'EXCL. DES VITRAGES ISOLANTS À PAROIS MULTIPLES) [01/01/1988-31/12/1988: PARE-BRISE FORMES DE</v>
      </c>
    </row>
    <row r="884" spans="1:4" x14ac:dyDescent="0.25">
      <c r="A884" t="str">
        <f>T("   ZZZ_Monde")</f>
        <v xml:space="preserve">   ZZZ_Monde</v>
      </c>
      <c r="B884" t="str">
        <f>T("   ZZZ_Monde")</f>
        <v xml:space="preserve">   ZZZ_Monde</v>
      </c>
      <c r="C884">
        <v>170000</v>
      </c>
      <c r="D884">
        <v>125</v>
      </c>
    </row>
    <row r="885" spans="1:4" x14ac:dyDescent="0.25">
      <c r="A885" t="str">
        <f>T("   GN")</f>
        <v xml:space="preserve">   GN</v>
      </c>
      <c r="B885" t="str">
        <f>T("   Guinée")</f>
        <v xml:space="preserve">   Guinée</v>
      </c>
      <c r="C885">
        <v>170000</v>
      </c>
      <c r="D885">
        <v>125</v>
      </c>
    </row>
    <row r="886" spans="1:4" x14ac:dyDescent="0.25">
      <c r="A886" t="str">
        <f>T("701090")</f>
        <v>701090</v>
      </c>
      <c r="B886" t="str">
        <f>T("Bonbonnes, bouteilles, flacons, bocaux, pots, emballages tubulaires et autres récipients en verre pour le transport ou l'emballage commercial et bocaux à conserves en verre (sauf ampoules, bouteilles isolantes et récipients dont l'isolation est assurée pa")</f>
        <v>Bonbonnes, bouteilles, flacons, bocaux, pots, emballages tubulaires et autres récipients en verre pour le transport ou l'emballage commercial et bocaux à conserves en verre (sauf ampoules, bouteilles isolantes et récipients dont l'isolation est assurée pa</v>
      </c>
    </row>
    <row r="887" spans="1:4" x14ac:dyDescent="0.25">
      <c r="A887" t="str">
        <f>T("   ZZZ_Monde")</f>
        <v xml:space="preserve">   ZZZ_Monde</v>
      </c>
      <c r="B887" t="str">
        <f>T("   ZZZ_Monde")</f>
        <v xml:space="preserve">   ZZZ_Monde</v>
      </c>
      <c r="C887">
        <v>32813020</v>
      </c>
      <c r="D887">
        <v>255060</v>
      </c>
    </row>
    <row r="888" spans="1:4" x14ac:dyDescent="0.25">
      <c r="A888" t="str">
        <f>T("   GN")</f>
        <v xml:space="preserve">   GN</v>
      </c>
      <c r="B888" t="str">
        <f>T("   Guinée")</f>
        <v xml:space="preserve">   Guinée</v>
      </c>
      <c r="C888">
        <v>30293020</v>
      </c>
      <c r="D888">
        <v>235440</v>
      </c>
    </row>
    <row r="889" spans="1:4" x14ac:dyDescent="0.25">
      <c r="A889" t="str">
        <f>T("   NE")</f>
        <v xml:space="preserve">   NE</v>
      </c>
      <c r="B889" t="str">
        <f>T("   Niger")</f>
        <v xml:space="preserve">   Niger</v>
      </c>
      <c r="C889">
        <v>2520000</v>
      </c>
      <c r="D889">
        <v>19620</v>
      </c>
    </row>
    <row r="890" spans="1:4" x14ac:dyDescent="0.25">
      <c r="A890" t="str">
        <f>T("720219")</f>
        <v>720219</v>
      </c>
      <c r="B890" t="str">
        <f>T("Ferromanganèse, teneur en poids en carbone &lt;= 2%")</f>
        <v>Ferromanganèse, teneur en poids en carbone &lt;= 2%</v>
      </c>
    </row>
    <row r="891" spans="1:4" x14ac:dyDescent="0.25">
      <c r="A891" t="str">
        <f>T("   ZZZ_Monde")</f>
        <v xml:space="preserve">   ZZZ_Monde</v>
      </c>
      <c r="B891" t="str">
        <f>T("   ZZZ_Monde")</f>
        <v xml:space="preserve">   ZZZ_Monde</v>
      </c>
      <c r="C891">
        <v>5000000</v>
      </c>
      <c r="D891">
        <v>390000</v>
      </c>
    </row>
    <row r="892" spans="1:4" x14ac:dyDescent="0.25">
      <c r="A892" t="str">
        <f>T("   IN")</f>
        <v xml:space="preserve">   IN</v>
      </c>
      <c r="B892" t="str">
        <f>T("   Inde")</f>
        <v xml:space="preserve">   Inde</v>
      </c>
      <c r="C892">
        <v>5000000</v>
      </c>
      <c r="D892">
        <v>390000</v>
      </c>
    </row>
    <row r="893" spans="1:4" x14ac:dyDescent="0.25">
      <c r="A893" t="str">
        <f>T("720429")</f>
        <v>720429</v>
      </c>
      <c r="B893" t="str">
        <f>T("DÉCHETS ET DÉBRIS D'ACIERS ALLIÉS [FERRAILLES] (SAUF ACIERS INOXYDABLES, DÉCHETS RADIOACTIFS ET DÉCHETS ET DÉBRIS DE PILES, DE BATTERIES DE PILES ET D'ACCUMULATEURS ÉLECTRIQUES)")</f>
        <v>DÉCHETS ET DÉBRIS D'ACIERS ALLIÉS [FERRAILLES] (SAUF ACIERS INOXYDABLES, DÉCHETS RADIOACTIFS ET DÉCHETS ET DÉBRIS DE PILES, DE BATTERIES DE PILES ET D'ACCUMULATEURS ÉLECTRIQUES)</v>
      </c>
    </row>
    <row r="894" spans="1:4" x14ac:dyDescent="0.25">
      <c r="A894" t="str">
        <f>T("   ZZZ_Monde")</f>
        <v xml:space="preserve">   ZZZ_Monde</v>
      </c>
      <c r="B894" t="str">
        <f>T("   ZZZ_Monde")</f>
        <v xml:space="preserve">   ZZZ_Monde</v>
      </c>
      <c r="C894">
        <v>385862300</v>
      </c>
      <c r="D894">
        <v>8006806</v>
      </c>
    </row>
    <row r="895" spans="1:4" x14ac:dyDescent="0.25">
      <c r="A895" t="str">
        <f>T("   AE")</f>
        <v xml:space="preserve">   AE</v>
      </c>
      <c r="B895" t="str">
        <f>T("   Emirats Arabes Unis")</f>
        <v xml:space="preserve">   Emirats Arabes Unis</v>
      </c>
      <c r="C895">
        <v>5000000</v>
      </c>
      <c r="D895">
        <v>100000</v>
      </c>
    </row>
    <row r="896" spans="1:4" x14ac:dyDescent="0.25">
      <c r="A896" t="str">
        <f>T("   BE")</f>
        <v xml:space="preserve">   BE</v>
      </c>
      <c r="B896" t="str">
        <f>T("   Belgique")</f>
        <v xml:space="preserve">   Belgique</v>
      </c>
      <c r="C896">
        <v>350000</v>
      </c>
      <c r="D896">
        <v>860</v>
      </c>
    </row>
    <row r="897" spans="1:4" x14ac:dyDescent="0.25">
      <c r="A897" t="str">
        <f>T("   CN")</f>
        <v xml:space="preserve">   CN</v>
      </c>
      <c r="B897" t="str">
        <f>T("   Chine")</f>
        <v xml:space="preserve">   Chine</v>
      </c>
      <c r="C897">
        <v>19000000</v>
      </c>
      <c r="D897">
        <v>410000</v>
      </c>
    </row>
    <row r="898" spans="1:4" x14ac:dyDescent="0.25">
      <c r="A898" t="str">
        <f>T("   CO")</f>
        <v xml:space="preserve">   CO</v>
      </c>
      <c r="B898" t="str">
        <f>T("   Colombie")</f>
        <v xml:space="preserve">   Colombie</v>
      </c>
      <c r="C898">
        <v>2500000</v>
      </c>
      <c r="D898">
        <v>50000</v>
      </c>
    </row>
    <row r="899" spans="1:4" x14ac:dyDescent="0.25">
      <c r="A899" t="str">
        <f>T("   DE")</f>
        <v xml:space="preserve">   DE</v>
      </c>
      <c r="B899" t="str">
        <f>T("   Allemagne")</f>
        <v xml:space="preserve">   Allemagne</v>
      </c>
      <c r="C899">
        <v>1500000</v>
      </c>
      <c r="D899">
        <v>30000</v>
      </c>
    </row>
    <row r="900" spans="1:4" x14ac:dyDescent="0.25">
      <c r="A900" t="str">
        <f>T("   ES")</f>
        <v xml:space="preserve">   ES</v>
      </c>
      <c r="B900" t="str">
        <f>T("   Espagne")</f>
        <v xml:space="preserve">   Espagne</v>
      </c>
      <c r="C900">
        <v>500000</v>
      </c>
      <c r="D900">
        <v>10000</v>
      </c>
    </row>
    <row r="901" spans="1:4" x14ac:dyDescent="0.25">
      <c r="A901" t="str">
        <f>T("   GH")</f>
        <v xml:space="preserve">   GH</v>
      </c>
      <c r="B901" t="str">
        <f>T("   Ghana")</f>
        <v xml:space="preserve">   Ghana</v>
      </c>
      <c r="C901">
        <v>700000</v>
      </c>
      <c r="D901">
        <v>14000</v>
      </c>
    </row>
    <row r="902" spans="1:4" x14ac:dyDescent="0.25">
      <c r="A902" t="str">
        <f>T("   ID")</f>
        <v xml:space="preserve">   ID</v>
      </c>
      <c r="B902" t="str">
        <f>T("   Indonésie")</f>
        <v xml:space="preserve">   Indonésie</v>
      </c>
      <c r="C902">
        <v>19310000</v>
      </c>
      <c r="D902">
        <v>446200</v>
      </c>
    </row>
    <row r="903" spans="1:4" x14ac:dyDescent="0.25">
      <c r="A903" t="str">
        <f>T("   IN")</f>
        <v xml:space="preserve">   IN</v>
      </c>
      <c r="B903" t="str">
        <f>T("   Inde")</f>
        <v xml:space="preserve">   Inde</v>
      </c>
      <c r="C903">
        <v>187294300</v>
      </c>
      <c r="D903">
        <v>3931586</v>
      </c>
    </row>
    <row r="904" spans="1:4" x14ac:dyDescent="0.25">
      <c r="A904" t="str">
        <f>T("   JP")</f>
        <v xml:space="preserve">   JP</v>
      </c>
      <c r="B904" t="str">
        <f>T("   Japon")</f>
        <v xml:space="preserve">   Japon</v>
      </c>
      <c r="C904">
        <v>1008000</v>
      </c>
      <c r="D904">
        <v>20160</v>
      </c>
    </row>
    <row r="905" spans="1:4" x14ac:dyDescent="0.25">
      <c r="A905" t="str">
        <f>T("   KR")</f>
        <v xml:space="preserve">   KR</v>
      </c>
      <c r="B905" t="str">
        <f>T("   Corée, République de")</f>
        <v xml:space="preserve">   Corée, République de</v>
      </c>
      <c r="C905">
        <v>5000000</v>
      </c>
      <c r="D905">
        <v>100000</v>
      </c>
    </row>
    <row r="906" spans="1:4" x14ac:dyDescent="0.25">
      <c r="A906" t="str">
        <f>T("   TH")</f>
        <v xml:space="preserve">   TH</v>
      </c>
      <c r="B906" t="str">
        <f>T("   Thaïlande")</f>
        <v xml:space="preserve">   Thaïlande</v>
      </c>
      <c r="C906">
        <v>3600000</v>
      </c>
      <c r="D906">
        <v>72000</v>
      </c>
    </row>
    <row r="907" spans="1:4" x14ac:dyDescent="0.25">
      <c r="A907" t="str">
        <f>T("   TW")</f>
        <v xml:space="preserve">   TW</v>
      </c>
      <c r="B907" t="str">
        <f>T("   Taïwan, Province de Chine")</f>
        <v xml:space="preserve">   Taïwan, Province de Chine</v>
      </c>
      <c r="C907">
        <v>500000</v>
      </c>
      <c r="D907">
        <v>10000</v>
      </c>
    </row>
    <row r="908" spans="1:4" x14ac:dyDescent="0.25">
      <c r="A908" t="str">
        <f>T("   US")</f>
        <v xml:space="preserve">   US</v>
      </c>
      <c r="B908" t="str">
        <f>T("   Etats-Unis")</f>
        <v xml:space="preserve">   Etats-Unis</v>
      </c>
      <c r="C908">
        <v>500000</v>
      </c>
      <c r="D908">
        <v>10000</v>
      </c>
    </row>
    <row r="909" spans="1:4" x14ac:dyDescent="0.25">
      <c r="A909" t="str">
        <f>T("   VN")</f>
        <v xml:space="preserve">   VN</v>
      </c>
      <c r="B909" t="str">
        <f>T("   Vietnam")</f>
        <v xml:space="preserve">   Vietnam</v>
      </c>
      <c r="C909">
        <v>139100000</v>
      </c>
      <c r="D909">
        <v>2802000</v>
      </c>
    </row>
    <row r="910" spans="1:4" x14ac:dyDescent="0.25">
      <c r="A910" t="str">
        <f>T("720430")</f>
        <v>720430</v>
      </c>
      <c r="B910" t="str">
        <f>T("DÉCHETS ET DÉBRIS DE FER OU D'ACIER ÉTAMÉS [FERRAILLES] (AUTRES QUE RADIOACTIFS ET DÉCHETS ET DÉBRIS DE PILES, DE BATTERIES DE PILES ET D'ACCUMULATEURS ÉLECTRIQUES)")</f>
        <v>DÉCHETS ET DÉBRIS DE FER OU D'ACIER ÉTAMÉS [FERRAILLES] (AUTRES QUE RADIOACTIFS ET DÉCHETS ET DÉBRIS DE PILES, DE BATTERIES DE PILES ET D'ACCUMULATEURS ÉLECTRIQUES)</v>
      </c>
    </row>
    <row r="911" spans="1:4" x14ac:dyDescent="0.25">
      <c r="A911" t="str">
        <f>T("   ZZZ_Monde")</f>
        <v xml:space="preserve">   ZZZ_Monde</v>
      </c>
      <c r="B911" t="str">
        <f>T("   ZZZ_Monde")</f>
        <v xml:space="preserve">   ZZZ_Monde</v>
      </c>
      <c r="C911">
        <v>810485500</v>
      </c>
      <c r="D911">
        <v>17851960</v>
      </c>
    </row>
    <row r="912" spans="1:4" x14ac:dyDescent="0.25">
      <c r="A912" t="str">
        <f>T("   AE")</f>
        <v xml:space="preserve">   AE</v>
      </c>
      <c r="B912" t="str">
        <f>T("   Emirats Arabes Unis")</f>
        <v xml:space="preserve">   Emirats Arabes Unis</v>
      </c>
      <c r="C912">
        <v>34022000</v>
      </c>
      <c r="D912">
        <v>680440</v>
      </c>
    </row>
    <row r="913" spans="1:4" x14ac:dyDescent="0.25">
      <c r="A913" t="str">
        <f>T("   CH")</f>
        <v xml:space="preserve">   CH</v>
      </c>
      <c r="B913" t="str">
        <f>T("   Suisse")</f>
        <v xml:space="preserve">   Suisse</v>
      </c>
      <c r="C913">
        <v>5000000</v>
      </c>
      <c r="D913">
        <v>100000</v>
      </c>
    </row>
    <row r="914" spans="1:4" x14ac:dyDescent="0.25">
      <c r="A914" t="str">
        <f>T("   CN")</f>
        <v xml:space="preserve">   CN</v>
      </c>
      <c r="B914" t="str">
        <f>T("   Chine")</f>
        <v xml:space="preserve">   Chine</v>
      </c>
      <c r="C914">
        <v>222574000</v>
      </c>
      <c r="D914">
        <v>4459500</v>
      </c>
    </row>
    <row r="915" spans="1:4" x14ac:dyDescent="0.25">
      <c r="A915" t="str">
        <f>T("   ES")</f>
        <v xml:space="preserve">   ES</v>
      </c>
      <c r="B915" t="str">
        <f>T("   Espagne")</f>
        <v xml:space="preserve">   Espagne</v>
      </c>
      <c r="C915">
        <v>2500000</v>
      </c>
      <c r="D915">
        <v>50000</v>
      </c>
    </row>
    <row r="916" spans="1:4" x14ac:dyDescent="0.25">
      <c r="A916" t="str">
        <f>T("   GR")</f>
        <v xml:space="preserve">   GR</v>
      </c>
      <c r="B916" t="str">
        <f>T("   Grèce")</f>
        <v xml:space="preserve">   Grèce</v>
      </c>
      <c r="C916">
        <v>500000</v>
      </c>
      <c r="D916">
        <v>10000</v>
      </c>
    </row>
    <row r="917" spans="1:4" x14ac:dyDescent="0.25">
      <c r="A917" t="str">
        <f>T("   ID")</f>
        <v xml:space="preserve">   ID</v>
      </c>
      <c r="B917" t="str">
        <f>T("   Indonésie")</f>
        <v xml:space="preserve">   Indonésie</v>
      </c>
      <c r="C917">
        <v>10946000</v>
      </c>
      <c r="D917">
        <v>218920</v>
      </c>
    </row>
    <row r="918" spans="1:4" x14ac:dyDescent="0.25">
      <c r="A918" t="str">
        <f>T("   IN")</f>
        <v xml:space="preserve">   IN</v>
      </c>
      <c r="B918" t="str">
        <f>T("   Inde")</f>
        <v xml:space="preserve">   Inde</v>
      </c>
      <c r="C918">
        <v>433395500</v>
      </c>
      <c r="D918">
        <v>9632140</v>
      </c>
    </row>
    <row r="919" spans="1:4" x14ac:dyDescent="0.25">
      <c r="A919" t="str">
        <f>T("   IT")</f>
        <v xml:space="preserve">   IT</v>
      </c>
      <c r="B919" t="str">
        <f>T("   Italie")</f>
        <v xml:space="preserve">   Italie</v>
      </c>
      <c r="C919">
        <v>1000000</v>
      </c>
      <c r="D919">
        <v>20000</v>
      </c>
    </row>
    <row r="920" spans="1:4" x14ac:dyDescent="0.25">
      <c r="A920" t="str">
        <f>T("   JP")</f>
        <v xml:space="preserve">   JP</v>
      </c>
      <c r="B920" t="str">
        <f>T("   Japon")</f>
        <v xml:space="preserve">   Japon</v>
      </c>
      <c r="C920">
        <v>6483000</v>
      </c>
      <c r="D920">
        <v>129660</v>
      </c>
    </row>
    <row r="921" spans="1:4" x14ac:dyDescent="0.25">
      <c r="A921" t="str">
        <f>T("   KP")</f>
        <v xml:space="preserve">   KP</v>
      </c>
      <c r="B921" t="str">
        <f>T("   Corée, Rép. Populaire Démocratique")</f>
        <v xml:space="preserve">   Corée, Rép. Populaire Démocratique</v>
      </c>
      <c r="C921">
        <v>9750000</v>
      </c>
      <c r="D921">
        <v>195000</v>
      </c>
    </row>
    <row r="922" spans="1:4" x14ac:dyDescent="0.25">
      <c r="A922" t="str">
        <f>T("   KR")</f>
        <v xml:space="preserve">   KR</v>
      </c>
      <c r="B922" t="str">
        <f>T("   Corée, République de")</f>
        <v xml:space="preserve">   Corée, République de</v>
      </c>
      <c r="C922">
        <v>23500000</v>
      </c>
      <c r="D922">
        <v>470000</v>
      </c>
    </row>
    <row r="923" spans="1:4" x14ac:dyDescent="0.25">
      <c r="A923" t="str">
        <f>T("   MA")</f>
        <v xml:space="preserve">   MA</v>
      </c>
      <c r="B923" t="str">
        <f>T("   Maroc")</f>
        <v xml:space="preserve">   Maroc</v>
      </c>
      <c r="C923">
        <v>500000</v>
      </c>
      <c r="D923">
        <v>10000</v>
      </c>
    </row>
    <row r="924" spans="1:4" x14ac:dyDescent="0.25">
      <c r="A924" t="str">
        <f>T("   NL")</f>
        <v xml:space="preserve">   NL</v>
      </c>
      <c r="B924" t="str">
        <f>T("   Pays-bas")</f>
        <v xml:space="preserve">   Pays-bas</v>
      </c>
      <c r="C924">
        <v>1840000</v>
      </c>
      <c r="D924">
        <v>36800</v>
      </c>
    </row>
    <row r="925" spans="1:4" x14ac:dyDescent="0.25">
      <c r="A925" t="str">
        <f>T("   TH")</f>
        <v xml:space="preserve">   TH</v>
      </c>
      <c r="B925" t="str">
        <f>T("   Thaïlande")</f>
        <v xml:space="preserve">   Thaïlande</v>
      </c>
      <c r="C925">
        <v>7143000</v>
      </c>
      <c r="D925">
        <v>142860</v>
      </c>
    </row>
    <row r="926" spans="1:4" x14ac:dyDescent="0.25">
      <c r="A926" t="str">
        <f>T("   TW")</f>
        <v xml:space="preserve">   TW</v>
      </c>
      <c r="B926" t="str">
        <f>T("   Taïwan, Province de Chine")</f>
        <v xml:space="preserve">   Taïwan, Province de Chine</v>
      </c>
      <c r="C926">
        <v>500000</v>
      </c>
      <c r="D926">
        <v>10000</v>
      </c>
    </row>
    <row r="927" spans="1:4" x14ac:dyDescent="0.25">
      <c r="A927" t="str">
        <f>T("   VN")</f>
        <v xml:space="preserve">   VN</v>
      </c>
      <c r="B927" t="str">
        <f>T("   Vietnam")</f>
        <v xml:space="preserve">   Vietnam</v>
      </c>
      <c r="C927">
        <v>50832000</v>
      </c>
      <c r="D927">
        <v>1686640</v>
      </c>
    </row>
    <row r="928" spans="1:4" x14ac:dyDescent="0.25">
      <c r="A928" t="str">
        <f>T("720449")</f>
        <v>720449</v>
      </c>
      <c r="B928" t="str">
        <f>T("DÉCHETS ET DÉBRIS DE FER OU D'ACIER [FERRAILLES] (SAUF DÉCHETS ET DÉBRIS RADIOACTIFS ET DE PILES, DE BATTERIES DE PILES ET D'ACCUMULATEURS ÉLECTRIQUES; SCORIES, LAITIERS ET AUTRES DÉCHETS DE LA FABRICATION DU FER OU DE L'ACIER; MORCEAUX PROVENANT DU BRIS")</f>
        <v>DÉCHETS ET DÉBRIS DE FER OU D'ACIER [FERRAILLES] (SAUF DÉCHETS ET DÉBRIS RADIOACTIFS ET DE PILES, DE BATTERIES DE PILES ET D'ACCUMULATEURS ÉLECTRIQUES; SCORIES, LAITIERS ET AUTRES DÉCHETS DE LA FABRICATION DU FER OU DE L'ACIER; MORCEAUX PROVENANT DU BRIS</v>
      </c>
    </row>
    <row r="929" spans="1:4" x14ac:dyDescent="0.25">
      <c r="A929" t="str">
        <f>T("   ZZZ_Monde")</f>
        <v xml:space="preserve">   ZZZ_Monde</v>
      </c>
      <c r="B929" t="str">
        <f>T("   ZZZ_Monde")</f>
        <v xml:space="preserve">   ZZZ_Monde</v>
      </c>
      <c r="C929">
        <v>844634000</v>
      </c>
      <c r="D929">
        <v>25436160</v>
      </c>
    </row>
    <row r="930" spans="1:4" x14ac:dyDescent="0.25">
      <c r="A930" t="str">
        <f>T("   AE")</f>
        <v xml:space="preserve">   AE</v>
      </c>
      <c r="B930" t="str">
        <f>T("   Emirats Arabes Unis")</f>
        <v xml:space="preserve">   Emirats Arabes Unis</v>
      </c>
      <c r="C930">
        <v>40656000</v>
      </c>
      <c r="D930">
        <v>848120</v>
      </c>
    </row>
    <row r="931" spans="1:4" x14ac:dyDescent="0.25">
      <c r="A931" t="str">
        <f>T("   CN")</f>
        <v xml:space="preserve">   CN</v>
      </c>
      <c r="B931" t="str">
        <f>T("   Chine")</f>
        <v xml:space="preserve">   Chine</v>
      </c>
      <c r="C931">
        <v>241000000</v>
      </c>
      <c r="D931">
        <v>6295000</v>
      </c>
    </row>
    <row r="932" spans="1:4" x14ac:dyDescent="0.25">
      <c r="A932" t="str">
        <f>T("   FR")</f>
        <v xml:space="preserve">   FR</v>
      </c>
      <c r="B932" t="str">
        <f>T("   France")</f>
        <v xml:space="preserve">   France</v>
      </c>
      <c r="C932">
        <v>1700000</v>
      </c>
      <c r="D932">
        <v>17480</v>
      </c>
    </row>
    <row r="933" spans="1:4" x14ac:dyDescent="0.25">
      <c r="A933" t="str">
        <f>T("   ID")</f>
        <v xml:space="preserve">   ID</v>
      </c>
      <c r="B933" t="str">
        <f>T("   Indonésie")</f>
        <v xml:space="preserve">   Indonésie</v>
      </c>
      <c r="C933">
        <v>12000000</v>
      </c>
      <c r="D933">
        <v>475000</v>
      </c>
    </row>
    <row r="934" spans="1:4" x14ac:dyDescent="0.25">
      <c r="A934" t="str">
        <f>T("   IN")</f>
        <v xml:space="preserve">   IN</v>
      </c>
      <c r="B934" t="str">
        <f>T("   Inde")</f>
        <v xml:space="preserve">   Inde</v>
      </c>
      <c r="C934">
        <v>325511000</v>
      </c>
      <c r="D934">
        <v>11140220</v>
      </c>
    </row>
    <row r="935" spans="1:4" x14ac:dyDescent="0.25">
      <c r="A935" t="str">
        <f>T("   IT")</f>
        <v xml:space="preserve">   IT</v>
      </c>
      <c r="B935" t="str">
        <f>T("   Italie")</f>
        <v xml:space="preserve">   Italie</v>
      </c>
      <c r="C935">
        <v>6000000</v>
      </c>
      <c r="D935">
        <v>140000</v>
      </c>
    </row>
    <row r="936" spans="1:4" x14ac:dyDescent="0.25">
      <c r="A936" t="str">
        <f>T("   KR")</f>
        <v xml:space="preserve">   KR</v>
      </c>
      <c r="B936" t="str">
        <f>T("   Corée, République de")</f>
        <v xml:space="preserve">   Corée, République de</v>
      </c>
      <c r="C936">
        <v>13000000</v>
      </c>
      <c r="D936">
        <v>360000</v>
      </c>
    </row>
    <row r="937" spans="1:4" x14ac:dyDescent="0.25">
      <c r="A937" t="str">
        <f>T("   MY")</f>
        <v xml:space="preserve">   MY</v>
      </c>
      <c r="B937" t="str">
        <f>T("   Malaisie")</f>
        <v xml:space="preserve">   Malaisie</v>
      </c>
      <c r="C937">
        <v>3000000</v>
      </c>
      <c r="D937">
        <v>60000</v>
      </c>
    </row>
    <row r="938" spans="1:4" x14ac:dyDescent="0.25">
      <c r="A938" t="str">
        <f>T("   PH")</f>
        <v xml:space="preserve">   PH</v>
      </c>
      <c r="B938" t="str">
        <f>T("   Philippines")</f>
        <v xml:space="preserve">   Philippines</v>
      </c>
      <c r="C938">
        <v>500000</v>
      </c>
      <c r="D938">
        <v>10000</v>
      </c>
    </row>
    <row r="939" spans="1:4" x14ac:dyDescent="0.25">
      <c r="A939" t="str">
        <f>T("   PK")</f>
        <v xml:space="preserve">   PK</v>
      </c>
      <c r="B939" t="str">
        <f>T("   Pakistan")</f>
        <v xml:space="preserve">   Pakistan</v>
      </c>
      <c r="C939">
        <v>8500000</v>
      </c>
      <c r="D939">
        <v>170000</v>
      </c>
    </row>
    <row r="940" spans="1:4" x14ac:dyDescent="0.25">
      <c r="A940" t="str">
        <f>T("   SY")</f>
        <v xml:space="preserve">   SY</v>
      </c>
      <c r="B940" t="str">
        <f>T("   Syrienne, République arabe")</f>
        <v xml:space="preserve">   Syrienne, République arabe</v>
      </c>
      <c r="C940">
        <v>750000</v>
      </c>
      <c r="D940">
        <v>15000</v>
      </c>
    </row>
    <row r="941" spans="1:4" x14ac:dyDescent="0.25">
      <c r="A941" t="str">
        <f>T("   TH")</f>
        <v xml:space="preserve">   TH</v>
      </c>
      <c r="B941" t="str">
        <f>T("   Thaïlande")</f>
        <v xml:space="preserve">   Thaïlande</v>
      </c>
      <c r="C941">
        <v>52918000</v>
      </c>
      <c r="D941">
        <v>1058360</v>
      </c>
    </row>
    <row r="942" spans="1:4" x14ac:dyDescent="0.25">
      <c r="A942" t="str">
        <f>T("   VN")</f>
        <v xml:space="preserve">   VN</v>
      </c>
      <c r="B942" t="str">
        <f>T("   Vietnam")</f>
        <v xml:space="preserve">   Vietnam</v>
      </c>
      <c r="C942">
        <v>139099000</v>
      </c>
      <c r="D942">
        <v>4846980</v>
      </c>
    </row>
    <row r="943" spans="1:4" x14ac:dyDescent="0.25">
      <c r="A943" t="str">
        <f>T("720529")</f>
        <v>720529</v>
      </c>
      <c r="B943" t="str">
        <f>T("Poudres de fonte brute, de fonte spiegel, de fer ou d'aciers non alliés (autres que les poudres de ferro-alliages et les isotopes radioactifs de poudre de fer)")</f>
        <v>Poudres de fonte brute, de fonte spiegel, de fer ou d'aciers non alliés (autres que les poudres de ferro-alliages et les isotopes radioactifs de poudre de fer)</v>
      </c>
    </row>
    <row r="944" spans="1:4" x14ac:dyDescent="0.25">
      <c r="A944" t="str">
        <f>T("   ZZZ_Monde")</f>
        <v xml:space="preserve">   ZZZ_Monde</v>
      </c>
      <c r="B944" t="str">
        <f>T("   ZZZ_Monde")</f>
        <v xml:space="preserve">   ZZZ_Monde</v>
      </c>
      <c r="C944">
        <v>3500000</v>
      </c>
      <c r="D944">
        <v>320000</v>
      </c>
    </row>
    <row r="945" spans="1:4" x14ac:dyDescent="0.25">
      <c r="A945" t="str">
        <f>T("   VN")</f>
        <v xml:space="preserve">   VN</v>
      </c>
      <c r="B945" t="str">
        <f>T("   Vietnam")</f>
        <v xml:space="preserve">   Vietnam</v>
      </c>
      <c r="C945">
        <v>3500000</v>
      </c>
      <c r="D945">
        <v>320000</v>
      </c>
    </row>
    <row r="946" spans="1:4" x14ac:dyDescent="0.25">
      <c r="A946" t="str">
        <f>T("720839")</f>
        <v>720839</v>
      </c>
      <c r="B946" t="str">
        <f>T("PRODUITS LAMINÉS PLATS, EN FER OU EN ACIERS NON ALLIÉS, D'UNE LARGEUR &gt;= 600 MM, ENROULÉS, SIMPLEMENT LAMINÉS À CHAUD, NON PLAQUÉS NI REVÊTUS, ÉPAISSEUR &lt; 3 MM (SANS MOTIFS EN RELIEF, ET AUTRES QUE DÉCAPÉS)")</f>
        <v>PRODUITS LAMINÉS PLATS, EN FER OU EN ACIERS NON ALLIÉS, D'UNE LARGEUR &gt;= 600 MM, ENROULÉS, SIMPLEMENT LAMINÉS À CHAUD, NON PLAQUÉS NI REVÊTUS, ÉPAISSEUR &lt; 3 MM (SANS MOTIFS EN RELIEF, ET AUTRES QUE DÉCAPÉS)</v>
      </c>
    </row>
    <row r="947" spans="1:4" x14ac:dyDescent="0.25">
      <c r="A947" t="str">
        <f>T("   ZZZ_Monde")</f>
        <v xml:space="preserve">   ZZZ_Monde</v>
      </c>
      <c r="B947" t="str">
        <f>T("   ZZZ_Monde")</f>
        <v xml:space="preserve">   ZZZ_Monde</v>
      </c>
      <c r="C947">
        <v>397745051</v>
      </c>
      <c r="D947">
        <v>1033981</v>
      </c>
    </row>
    <row r="948" spans="1:4" x14ac:dyDescent="0.25">
      <c r="A948" t="str">
        <f>T("   BF")</f>
        <v xml:space="preserve">   BF</v>
      </c>
      <c r="B948" t="str">
        <f>T("   Burkina Faso")</f>
        <v xml:space="preserve">   Burkina Faso</v>
      </c>
      <c r="C948">
        <v>3303724</v>
      </c>
      <c r="D948">
        <v>7971</v>
      </c>
    </row>
    <row r="949" spans="1:4" x14ac:dyDescent="0.25">
      <c r="A949" t="str">
        <f>T("   TD")</f>
        <v xml:space="preserve">   TD</v>
      </c>
      <c r="B949" t="str">
        <f>T("   Tchad")</f>
        <v xml:space="preserve">   Tchad</v>
      </c>
      <c r="C949">
        <v>394441327</v>
      </c>
      <c r="D949">
        <v>1026010</v>
      </c>
    </row>
    <row r="950" spans="1:4" x14ac:dyDescent="0.25">
      <c r="A950" t="str">
        <f>T("720890")</f>
        <v>720890</v>
      </c>
      <c r="B950" t="str">
        <f>T("PRODUITS LAMINÉS PLATS, EN FER OU EN ACIER, D'UNE LARGEUR &gt;= 600 MM, LAMINÉS À CHAUD ET AYANT SUBI CERTAINES OUVRAISONS PLUS POUSSÉES, MAIS NON-PLAQUÉS NI REVÊTUS")</f>
        <v>PRODUITS LAMINÉS PLATS, EN FER OU EN ACIER, D'UNE LARGEUR &gt;= 600 MM, LAMINÉS À CHAUD ET AYANT SUBI CERTAINES OUVRAISONS PLUS POUSSÉES, MAIS NON-PLAQUÉS NI REVÊTUS</v>
      </c>
    </row>
    <row r="951" spans="1:4" x14ac:dyDescent="0.25">
      <c r="A951" t="str">
        <f>T("   ZZZ_Monde")</f>
        <v xml:space="preserve">   ZZZ_Monde</v>
      </c>
      <c r="B951" t="str">
        <f>T("   ZZZ_Monde")</f>
        <v xml:space="preserve">   ZZZ_Monde</v>
      </c>
      <c r="C951">
        <v>55516757</v>
      </c>
      <c r="D951">
        <v>95000</v>
      </c>
    </row>
    <row r="952" spans="1:4" x14ac:dyDescent="0.25">
      <c r="A952" t="str">
        <f>T("   TD")</f>
        <v xml:space="preserve">   TD</v>
      </c>
      <c r="B952" t="str">
        <f>T("   Tchad")</f>
        <v xml:space="preserve">   Tchad</v>
      </c>
      <c r="C952">
        <v>55516757</v>
      </c>
      <c r="D952">
        <v>95000</v>
      </c>
    </row>
    <row r="953" spans="1:4" x14ac:dyDescent="0.25">
      <c r="A953" t="str">
        <f>T("720916")</f>
        <v>720916</v>
      </c>
      <c r="B953" t="str">
        <f>T("PRODUITS LAMINÉS PLATS, EN FER OU EN ACIERS NON-ALLIÉS, D'UNE LARGEUR &gt;= 600 MM, NON-PLAQUÉS NI REVÊTUS, ENROULÉS, SIMPL. LAMINÉS À FROID, D'UNE ÉPAISSEUR &gt; 1 MM MAIS &lt; 3 MM")</f>
        <v>PRODUITS LAMINÉS PLATS, EN FER OU EN ACIERS NON-ALLIÉS, D'UNE LARGEUR &gt;= 600 MM, NON-PLAQUÉS NI REVÊTUS, ENROULÉS, SIMPL. LAMINÉS À FROID, D'UNE ÉPAISSEUR &gt; 1 MM MAIS &lt; 3 MM</v>
      </c>
    </row>
    <row r="954" spans="1:4" x14ac:dyDescent="0.25">
      <c r="A954" t="str">
        <f>T("   ZZZ_Monde")</f>
        <v xml:space="preserve">   ZZZ_Monde</v>
      </c>
      <c r="B954" t="str">
        <f>T("   ZZZ_Monde")</f>
        <v xml:space="preserve">   ZZZ_Monde</v>
      </c>
      <c r="C954">
        <v>76661821</v>
      </c>
      <c r="D954">
        <v>161909</v>
      </c>
    </row>
    <row r="955" spans="1:4" x14ac:dyDescent="0.25">
      <c r="A955" t="str">
        <f>T("   BF")</f>
        <v xml:space="preserve">   BF</v>
      </c>
      <c r="B955" t="str">
        <f>T("   Burkina Faso")</f>
        <v xml:space="preserve">   Burkina Faso</v>
      </c>
      <c r="C955">
        <v>30743700</v>
      </c>
      <c r="D955">
        <v>67959</v>
      </c>
    </row>
    <row r="956" spans="1:4" x14ac:dyDescent="0.25">
      <c r="A956" t="str">
        <f>T("   TD")</f>
        <v xml:space="preserve">   TD</v>
      </c>
      <c r="B956" t="str">
        <f>T("   Tchad")</f>
        <v xml:space="preserve">   Tchad</v>
      </c>
      <c r="C956">
        <v>45918121</v>
      </c>
      <c r="D956">
        <v>93950</v>
      </c>
    </row>
    <row r="957" spans="1:4" x14ac:dyDescent="0.25">
      <c r="A957" t="str">
        <f>T("720917")</f>
        <v>720917</v>
      </c>
      <c r="B957" t="str">
        <f>T("PRODUITS LAMINÉS PLATS, EN FER OU EN ACIERS NON-ALLIÉS, D'UNE LARGEUR &gt;= 600 MM, NON-PLAQUÉS NI REVÊTUS, ENROULÉS, SIMPL. LAMINÉS À FROID, D'UNE ÉPAISSEUR &gt;= 0,5 MM MAIS &lt;= 1 MM")</f>
        <v>PRODUITS LAMINÉS PLATS, EN FER OU EN ACIERS NON-ALLIÉS, D'UNE LARGEUR &gt;= 600 MM, NON-PLAQUÉS NI REVÊTUS, ENROULÉS, SIMPL. LAMINÉS À FROID, D'UNE ÉPAISSEUR &gt;= 0,5 MM MAIS &lt;= 1 MM</v>
      </c>
    </row>
    <row r="958" spans="1:4" x14ac:dyDescent="0.25">
      <c r="A958" t="str">
        <f>T("   ZZZ_Monde")</f>
        <v xml:space="preserve">   ZZZ_Monde</v>
      </c>
      <c r="B958" t="str">
        <f>T("   ZZZ_Monde")</f>
        <v xml:space="preserve">   ZZZ_Monde</v>
      </c>
      <c r="C958">
        <v>419390139</v>
      </c>
      <c r="D958">
        <v>936550</v>
      </c>
    </row>
    <row r="959" spans="1:4" x14ac:dyDescent="0.25">
      <c r="A959" t="str">
        <f>T("   BF")</f>
        <v xml:space="preserve">   BF</v>
      </c>
      <c r="B959" t="str">
        <f>T("   Burkina Faso")</f>
        <v xml:space="preserve">   Burkina Faso</v>
      </c>
      <c r="C959">
        <v>174251003</v>
      </c>
      <c r="D959">
        <v>396538</v>
      </c>
    </row>
    <row r="960" spans="1:4" x14ac:dyDescent="0.25">
      <c r="A960" t="str">
        <f>T("   TD")</f>
        <v xml:space="preserve">   TD</v>
      </c>
      <c r="B960" t="str">
        <f>T("   Tchad")</f>
        <v xml:space="preserve">   Tchad</v>
      </c>
      <c r="C960">
        <v>245139136</v>
      </c>
      <c r="D960">
        <v>540012</v>
      </c>
    </row>
    <row r="961" spans="1:4" x14ac:dyDescent="0.25">
      <c r="A961" t="str">
        <f>T("720918")</f>
        <v>720918</v>
      </c>
      <c r="B961" t="str">
        <f>T("PRODUITS LAMINÉS PLATS, EN FER OU EN ACIERS NON-ALLIÉS, D'UNE LARGEUR &gt;= 600 MM, NON-PLAQUÉS NI REVÊTUS, ENROULÉS, SIMPL. LAMINÉS À FROID, D'UNE ÉPAISSEUR &lt; 0,5 MM")</f>
        <v>PRODUITS LAMINÉS PLATS, EN FER OU EN ACIERS NON-ALLIÉS, D'UNE LARGEUR &gt;= 600 MM, NON-PLAQUÉS NI REVÊTUS, ENROULÉS, SIMPL. LAMINÉS À FROID, D'UNE ÉPAISSEUR &lt; 0,5 MM</v>
      </c>
    </row>
    <row r="962" spans="1:4" x14ac:dyDescent="0.25">
      <c r="A962" t="str">
        <f>T("   ZZZ_Monde")</f>
        <v xml:space="preserve">   ZZZ_Monde</v>
      </c>
      <c r="B962" t="str">
        <f>T("   ZZZ_Monde")</f>
        <v xml:space="preserve">   ZZZ_Monde</v>
      </c>
      <c r="C962">
        <v>112395572</v>
      </c>
      <c r="D962">
        <v>197288</v>
      </c>
    </row>
    <row r="963" spans="1:4" x14ac:dyDescent="0.25">
      <c r="A963" t="str">
        <f>T("   BF")</f>
        <v xml:space="preserve">   BF</v>
      </c>
      <c r="B963" t="str">
        <f>T("   Burkina Faso")</f>
        <v xml:space="preserve">   Burkina Faso</v>
      </c>
      <c r="C963">
        <v>43075572</v>
      </c>
      <c r="D963">
        <v>76908</v>
      </c>
    </row>
    <row r="964" spans="1:4" x14ac:dyDescent="0.25">
      <c r="A964" t="str">
        <f>T("   TD")</f>
        <v xml:space="preserve">   TD</v>
      </c>
      <c r="B964" t="str">
        <f>T("   Tchad")</f>
        <v xml:space="preserve">   Tchad</v>
      </c>
      <c r="C964">
        <v>44000000</v>
      </c>
      <c r="D964">
        <v>80000</v>
      </c>
    </row>
    <row r="965" spans="1:4" x14ac:dyDescent="0.25">
      <c r="A965" t="str">
        <f>T("   TG")</f>
        <v xml:space="preserve">   TG</v>
      </c>
      <c r="B965" t="str">
        <f>T("   Togo")</f>
        <v xml:space="preserve">   Togo</v>
      </c>
      <c r="C965">
        <v>25320000</v>
      </c>
      <c r="D965">
        <v>40380</v>
      </c>
    </row>
    <row r="966" spans="1:4" x14ac:dyDescent="0.25">
      <c r="A966" t="str">
        <f>T("720925")</f>
        <v>720925</v>
      </c>
      <c r="B966" t="str">
        <f>T("PRODUITS LAMINÉS PLATS, EN FER OU EN ACIERS NON ALLIÉS, D'UNE LARGEUR &gt;= 600 MM, NON ENROULÉS, SIMPLEMENT LAMINÉS À FROID, NON PLAQUÉS NI REVÊTUS, ÉPAISSEUR &gt;= 3 MM")</f>
        <v>PRODUITS LAMINÉS PLATS, EN FER OU EN ACIERS NON ALLIÉS, D'UNE LARGEUR &gt;= 600 MM, NON ENROULÉS, SIMPLEMENT LAMINÉS À FROID, NON PLAQUÉS NI REVÊTUS, ÉPAISSEUR &gt;= 3 MM</v>
      </c>
    </row>
    <row r="967" spans="1:4" x14ac:dyDescent="0.25">
      <c r="A967" t="str">
        <f>T("   ZZZ_Monde")</f>
        <v xml:space="preserve">   ZZZ_Monde</v>
      </c>
      <c r="B967" t="str">
        <f>T("   ZZZ_Monde")</f>
        <v xml:space="preserve">   ZZZ_Monde</v>
      </c>
      <c r="C967">
        <v>38493872</v>
      </c>
      <c r="D967">
        <v>70000</v>
      </c>
    </row>
    <row r="968" spans="1:4" x14ac:dyDescent="0.25">
      <c r="A968" t="str">
        <f>T("   TD")</f>
        <v xml:space="preserve">   TD</v>
      </c>
      <c r="B968" t="str">
        <f>T("   Tchad")</f>
        <v xml:space="preserve">   Tchad</v>
      </c>
      <c r="C968">
        <v>38493872</v>
      </c>
      <c r="D968">
        <v>70000</v>
      </c>
    </row>
    <row r="969" spans="1:4" x14ac:dyDescent="0.25">
      <c r="A969" t="str">
        <f>T("720927")</f>
        <v>720927</v>
      </c>
      <c r="B969" t="str">
        <f>T("PRODUITS LAMINÉS PLATS, EN FER OU EN ACIERS NON-ALLIÉS, D'UNE LARGEUR &gt;= 600 MM, NON-PLAQUÉS NI REVÊTUS, NON-ENROULÉS, SIMPL. LAMINÉS À FROID, D'UNE ÉPAISSEUR &gt;= 0,5 MM MAIS &lt;= 1 MM")</f>
        <v>PRODUITS LAMINÉS PLATS, EN FER OU EN ACIERS NON-ALLIÉS, D'UNE LARGEUR &gt;= 600 MM, NON-PLAQUÉS NI REVÊTUS, NON-ENROULÉS, SIMPL. LAMINÉS À FROID, D'UNE ÉPAISSEUR &gt;= 0,5 MM MAIS &lt;= 1 MM</v>
      </c>
    </row>
    <row r="970" spans="1:4" x14ac:dyDescent="0.25">
      <c r="A970" t="str">
        <f>T("   ZZZ_Monde")</f>
        <v xml:space="preserve">   ZZZ_Monde</v>
      </c>
      <c r="B970" t="str">
        <f>T("   ZZZ_Monde")</f>
        <v xml:space="preserve">   ZZZ_Monde</v>
      </c>
      <c r="C970">
        <v>30927570</v>
      </c>
      <c r="D970">
        <v>55000</v>
      </c>
    </row>
    <row r="971" spans="1:4" x14ac:dyDescent="0.25">
      <c r="A971" t="str">
        <f>T("   TD")</f>
        <v xml:space="preserve">   TD</v>
      </c>
      <c r="B971" t="str">
        <f>T("   Tchad")</f>
        <v xml:space="preserve">   Tchad</v>
      </c>
      <c r="C971">
        <v>30927570</v>
      </c>
      <c r="D971">
        <v>55000</v>
      </c>
    </row>
    <row r="972" spans="1:4" x14ac:dyDescent="0.25">
      <c r="A972" t="str">
        <f>T("720990")</f>
        <v>720990</v>
      </c>
      <c r="B972" t="str">
        <f>T("PRODUITS LAMINÉS PLATS, EN FER OU EN ACIER, D'UNE LARGEUR &gt;= 600 MM, LAMINÉS À FROID ET AYANT SUBI CERTAINES OUVRAISONS PLUS POUSSÉES, MAIS NON-PLAQUÉS NI REVÊTUS")</f>
        <v>PRODUITS LAMINÉS PLATS, EN FER OU EN ACIER, D'UNE LARGEUR &gt;= 600 MM, LAMINÉS À FROID ET AYANT SUBI CERTAINES OUVRAISONS PLUS POUSSÉES, MAIS NON-PLAQUÉS NI REVÊTUS</v>
      </c>
    </row>
    <row r="973" spans="1:4" x14ac:dyDescent="0.25">
      <c r="A973" t="str">
        <f>T("   ZZZ_Monde")</f>
        <v xml:space="preserve">   ZZZ_Monde</v>
      </c>
      <c r="B973" t="str">
        <f>T("   ZZZ_Monde")</f>
        <v xml:space="preserve">   ZZZ_Monde</v>
      </c>
      <c r="C973">
        <v>345035943</v>
      </c>
      <c r="D973">
        <v>623576</v>
      </c>
    </row>
    <row r="974" spans="1:4" x14ac:dyDescent="0.25">
      <c r="A974" t="str">
        <f>T("   TD")</f>
        <v xml:space="preserve">   TD</v>
      </c>
      <c r="B974" t="str">
        <f>T("   Tchad")</f>
        <v xml:space="preserve">   Tchad</v>
      </c>
      <c r="C974">
        <v>345035943</v>
      </c>
      <c r="D974">
        <v>623576</v>
      </c>
    </row>
    <row r="975" spans="1:4" x14ac:dyDescent="0.25">
      <c r="A975" t="str">
        <f>T("721041")</f>
        <v>721041</v>
      </c>
      <c r="B975" t="str">
        <f>T("Produits laminés plats, en fer ou en aciers non alliés, d'une largeur &gt;= 600 mm, laminés à chaud ou à froid, zingués, ondulés (à l'excl. des produits zingués électrolytiquement)")</f>
        <v>Produits laminés plats, en fer ou en aciers non alliés, d'une largeur &gt;= 600 mm, laminés à chaud ou à froid, zingués, ondulés (à l'excl. des produits zingués électrolytiquement)</v>
      </c>
    </row>
    <row r="976" spans="1:4" x14ac:dyDescent="0.25">
      <c r="A976" t="str">
        <f>T("   ZZZ_Monde")</f>
        <v xml:space="preserve">   ZZZ_Monde</v>
      </c>
      <c r="B976" t="str">
        <f>T("   ZZZ_Monde")</f>
        <v xml:space="preserve">   ZZZ_Monde</v>
      </c>
      <c r="C976">
        <v>13920000</v>
      </c>
      <c r="D976">
        <v>30000</v>
      </c>
    </row>
    <row r="977" spans="1:4" x14ac:dyDescent="0.25">
      <c r="A977" t="str">
        <f>T("   BF")</f>
        <v xml:space="preserve">   BF</v>
      </c>
      <c r="B977" t="str">
        <f>T("   Burkina Faso")</f>
        <v xml:space="preserve">   Burkina Faso</v>
      </c>
      <c r="C977">
        <v>13920000</v>
      </c>
      <c r="D977">
        <v>30000</v>
      </c>
    </row>
    <row r="978" spans="1:4" x14ac:dyDescent="0.25">
      <c r="A978" t="str">
        <f>T("721049")</f>
        <v>721049</v>
      </c>
      <c r="B978" t="str">
        <f>T("Produits laminés plats, en fer ou en aciers non alliés, d'une largeur &gt;= 600 mm, laminés à chaud ou à froid, zingués, non ondulés (à l'excl. des produits zingués électrolytiquement)")</f>
        <v>Produits laminés plats, en fer ou en aciers non alliés, d'une largeur &gt;= 600 mm, laminés à chaud ou à froid, zingués, non ondulés (à l'excl. des produits zingués électrolytiquement)</v>
      </c>
    </row>
    <row r="979" spans="1:4" x14ac:dyDescent="0.25">
      <c r="A979" t="str">
        <f>T("   ZZZ_Monde")</f>
        <v xml:space="preserve">   ZZZ_Monde</v>
      </c>
      <c r="B979" t="str">
        <f>T("   ZZZ_Monde")</f>
        <v xml:space="preserve">   ZZZ_Monde</v>
      </c>
      <c r="C979">
        <v>26125616</v>
      </c>
      <c r="D979">
        <v>52835</v>
      </c>
    </row>
    <row r="980" spans="1:4" x14ac:dyDescent="0.25">
      <c r="A980" t="str">
        <f>T("   BF")</f>
        <v xml:space="preserve">   BF</v>
      </c>
      <c r="B980" t="str">
        <f>T("   Burkina Faso")</f>
        <v xml:space="preserve">   Burkina Faso</v>
      </c>
      <c r="C980">
        <v>26125616</v>
      </c>
      <c r="D980">
        <v>52835</v>
      </c>
    </row>
    <row r="981" spans="1:4" x14ac:dyDescent="0.25">
      <c r="A981" t="str">
        <f>T("721070")</f>
        <v>721070</v>
      </c>
      <c r="B981" t="str">
        <f>T("PRODUITS LAMINÉS PLATS, EN FER OU EN ACIERS NON-ALLIÉS, D'UNE LARGEUR &gt;= 600 MM, LAMINÉS À CHAUD OU À FROID, PEINTS, VERNIS OU REVÊTUS DE MATIÈRES PLASTIQUES")</f>
        <v>PRODUITS LAMINÉS PLATS, EN FER OU EN ACIERS NON-ALLIÉS, D'UNE LARGEUR &gt;= 600 MM, LAMINÉS À CHAUD OU À FROID, PEINTS, VERNIS OU REVÊTUS DE MATIÈRES PLASTIQUES</v>
      </c>
    </row>
    <row r="982" spans="1:4" x14ac:dyDescent="0.25">
      <c r="A982" t="str">
        <f>T("   ZZZ_Monde")</f>
        <v xml:space="preserve">   ZZZ_Monde</v>
      </c>
      <c r="B982" t="str">
        <f>T("   ZZZ_Monde")</f>
        <v xml:space="preserve">   ZZZ_Monde</v>
      </c>
      <c r="C982">
        <v>17826750</v>
      </c>
      <c r="D982">
        <v>26410</v>
      </c>
    </row>
    <row r="983" spans="1:4" x14ac:dyDescent="0.25">
      <c r="A983" t="str">
        <f>T("   BF")</f>
        <v xml:space="preserve">   BF</v>
      </c>
      <c r="B983" t="str">
        <f>T("   Burkina Faso")</f>
        <v xml:space="preserve">   Burkina Faso</v>
      </c>
      <c r="C983">
        <v>17826750</v>
      </c>
      <c r="D983">
        <v>26410</v>
      </c>
    </row>
    <row r="984" spans="1:4" x14ac:dyDescent="0.25">
      <c r="A984" t="str">
        <f>T("721310")</f>
        <v>721310</v>
      </c>
      <c r="B984" t="str">
        <f>T("FIL MACHINE EN FER OU ACIERS NON ALLIÉS, ENROULÉS EN COURONNES IRRÉGULIÈRES, AVEC INDENTATIONS, BOURRELETS, CREUX OU RELIEFS OBTENUS LORS DU LAMINAGE")</f>
        <v>FIL MACHINE EN FER OU ACIERS NON ALLIÉS, ENROULÉS EN COURONNES IRRÉGULIÈRES, AVEC INDENTATIONS, BOURRELETS, CREUX OU RELIEFS OBTENUS LORS DU LAMINAGE</v>
      </c>
    </row>
    <row r="985" spans="1:4" x14ac:dyDescent="0.25">
      <c r="A985" t="str">
        <f>T("   ZZZ_Monde")</f>
        <v xml:space="preserve">   ZZZ_Monde</v>
      </c>
      <c r="B985" t="str">
        <f>T("   ZZZ_Monde")</f>
        <v xml:space="preserve">   ZZZ_Monde</v>
      </c>
      <c r="C985">
        <v>127677875</v>
      </c>
      <c r="D985">
        <v>325000</v>
      </c>
    </row>
    <row r="986" spans="1:4" x14ac:dyDescent="0.25">
      <c r="A986" t="str">
        <f>T("   TD")</f>
        <v xml:space="preserve">   TD</v>
      </c>
      <c r="B986" t="str">
        <f>T("   Tchad")</f>
        <v xml:space="preserve">   Tchad</v>
      </c>
      <c r="C986">
        <v>127677875</v>
      </c>
      <c r="D986">
        <v>325000</v>
      </c>
    </row>
    <row r="987" spans="1:4" x14ac:dyDescent="0.25">
      <c r="A987" t="str">
        <f>T("721391")</f>
        <v>721391</v>
      </c>
      <c r="B987" t="str">
        <f>T("FIL MACHINE EN FER OU ACIERS NON-ALLIÉS, ENROULÉ EN COURONNES IRRÉGULIÈRES, DE SECTION CIRCULAIRE DE DIAMÈTRE &lt; 14 MM (AUTRE QU'EN ACIERS DE DÉCOLLETAGE ET AUTRE QUE FIL MACHINE AVEC INDENTATIONS, BOURRELETS, CREUX OU RELIEFS OBTENUS LORS DU LAMINAGE)")</f>
        <v>FIL MACHINE EN FER OU ACIERS NON-ALLIÉS, ENROULÉ EN COURONNES IRRÉGULIÈRES, DE SECTION CIRCULAIRE DE DIAMÈTRE &lt; 14 MM (AUTRE QU'EN ACIERS DE DÉCOLLETAGE ET AUTRE QUE FIL MACHINE AVEC INDENTATIONS, BOURRELETS, CREUX OU RELIEFS OBTENUS LORS DU LAMINAGE)</v>
      </c>
    </row>
    <row r="988" spans="1:4" x14ac:dyDescent="0.25">
      <c r="A988" t="str">
        <f>T("   ZZZ_Monde")</f>
        <v xml:space="preserve">   ZZZ_Monde</v>
      </c>
      <c r="B988" t="str">
        <f>T("   ZZZ_Monde")</f>
        <v xml:space="preserve">   ZZZ_Monde</v>
      </c>
      <c r="C988">
        <v>10847466572</v>
      </c>
      <c r="D988">
        <v>27949829</v>
      </c>
    </row>
    <row r="989" spans="1:4" x14ac:dyDescent="0.25">
      <c r="A989" t="str">
        <f>T("   CN")</f>
        <v xml:space="preserve">   CN</v>
      </c>
      <c r="B989" t="str">
        <f>T("   Chine")</f>
        <v xml:space="preserve">   Chine</v>
      </c>
      <c r="C989">
        <v>115262950</v>
      </c>
      <c r="D989">
        <v>176815</v>
      </c>
    </row>
    <row r="990" spans="1:4" x14ac:dyDescent="0.25">
      <c r="A990" t="str">
        <f>T("   NE")</f>
        <v xml:space="preserve">   NE</v>
      </c>
      <c r="B990" t="str">
        <f>T("   Niger")</f>
        <v xml:space="preserve">   Niger</v>
      </c>
      <c r="C990">
        <v>118677431</v>
      </c>
      <c r="D990">
        <v>308000</v>
      </c>
    </row>
    <row r="991" spans="1:4" x14ac:dyDescent="0.25">
      <c r="A991" t="str">
        <f>T("   TD")</f>
        <v xml:space="preserve">   TD</v>
      </c>
      <c r="B991" t="str">
        <f>T("   Tchad")</f>
        <v xml:space="preserve">   Tchad</v>
      </c>
      <c r="C991">
        <v>10613526191</v>
      </c>
      <c r="D991">
        <v>27465014</v>
      </c>
    </row>
    <row r="992" spans="1:4" x14ac:dyDescent="0.25">
      <c r="A992" t="str">
        <f>T("721399")</f>
        <v>721399</v>
      </c>
      <c r="B992" t="str">
        <f>T("FIL MACHINE EN FER OU ACIERS NON-ALLIÉS, ENROULÉ EN COURONNES IRRÉGULIÈRES (AUTRE QUE DE SECTION CIRCULAIRE DE DIAMÈTRE &lt; 14 MM, AUTRE QUE FIL MACHINE EN ACIERS DE DÉCOLLETAGE, OU AVEC INDENTATIONS, BOURRELETS, CREUX OU RELIEFS OBTENUS LORS DU LAMINAGE)")</f>
        <v>FIL MACHINE EN FER OU ACIERS NON-ALLIÉS, ENROULÉ EN COURONNES IRRÉGULIÈRES (AUTRE QUE DE SECTION CIRCULAIRE DE DIAMÈTRE &lt; 14 MM, AUTRE QUE FIL MACHINE EN ACIERS DE DÉCOLLETAGE, OU AVEC INDENTATIONS, BOURRELETS, CREUX OU RELIEFS OBTENUS LORS DU LAMINAGE)</v>
      </c>
    </row>
    <row r="993" spans="1:4" x14ac:dyDescent="0.25">
      <c r="A993" t="str">
        <f>T("   ZZZ_Monde")</f>
        <v xml:space="preserve">   ZZZ_Monde</v>
      </c>
      <c r="B993" t="str">
        <f>T("   ZZZ_Monde")</f>
        <v xml:space="preserve">   ZZZ_Monde</v>
      </c>
      <c r="C993">
        <v>5431024666</v>
      </c>
      <c r="D993">
        <v>13984000</v>
      </c>
    </row>
    <row r="994" spans="1:4" x14ac:dyDescent="0.25">
      <c r="A994" t="str">
        <f>T("   NE")</f>
        <v xml:space="preserve">   NE</v>
      </c>
      <c r="B994" t="str">
        <f>T("   Niger")</f>
        <v xml:space="preserve">   Niger</v>
      </c>
      <c r="C994">
        <v>141000000</v>
      </c>
      <c r="D994">
        <v>475000</v>
      </c>
    </row>
    <row r="995" spans="1:4" x14ac:dyDescent="0.25">
      <c r="A995" t="str">
        <f>T("   TD")</f>
        <v xml:space="preserve">   TD</v>
      </c>
      <c r="B995" t="str">
        <f>T("   Tchad")</f>
        <v xml:space="preserve">   Tchad</v>
      </c>
      <c r="C995">
        <v>5290024666</v>
      </c>
      <c r="D995">
        <v>13509000</v>
      </c>
    </row>
    <row r="996" spans="1:4" x14ac:dyDescent="0.25">
      <c r="A996" t="str">
        <f>T("721420")</f>
        <v>721420</v>
      </c>
      <c r="B996" t="str">
        <f>T("BARRES EN FER OU EN ACIERS NON ALLIÉS, COMPORTANT DES INDENTATIONS, BOURRELETS, CREUX OU RELIEFS OBTENUS AU COURS DU LAMINAGE OU AYANT SUBI UNE TORSION APRÈS LAMINAGE")</f>
        <v>BARRES EN FER OU EN ACIERS NON ALLIÉS, COMPORTANT DES INDENTATIONS, BOURRELETS, CREUX OU RELIEFS OBTENUS AU COURS DU LAMINAGE OU AYANT SUBI UNE TORSION APRÈS LAMINAGE</v>
      </c>
    </row>
    <row r="997" spans="1:4" x14ac:dyDescent="0.25">
      <c r="A997" t="str">
        <f>T("   ZZZ_Monde")</f>
        <v xml:space="preserve">   ZZZ_Monde</v>
      </c>
      <c r="B997" t="str">
        <f>T("   ZZZ_Monde")</f>
        <v xml:space="preserve">   ZZZ_Monde</v>
      </c>
      <c r="C997">
        <v>690819077</v>
      </c>
      <c r="D997">
        <v>1736860</v>
      </c>
    </row>
    <row r="998" spans="1:4" x14ac:dyDescent="0.25">
      <c r="A998" t="str">
        <f>T("   CH")</f>
        <v xml:space="preserve">   CH</v>
      </c>
      <c r="B998" t="str">
        <f>T("   Suisse")</f>
        <v xml:space="preserve">   Suisse</v>
      </c>
      <c r="C998">
        <v>37974811</v>
      </c>
      <c r="D998">
        <v>53504</v>
      </c>
    </row>
    <row r="999" spans="1:4" x14ac:dyDescent="0.25">
      <c r="A999" t="str">
        <f>T("   GB")</f>
        <v xml:space="preserve">   GB</v>
      </c>
      <c r="B999" t="str">
        <f>T("   Royaume-Uni")</f>
        <v xml:space="preserve">   Royaume-Uni</v>
      </c>
      <c r="C999">
        <v>3261078</v>
      </c>
      <c r="D999">
        <v>4601</v>
      </c>
    </row>
    <row r="1000" spans="1:4" x14ac:dyDescent="0.25">
      <c r="A1000" t="str">
        <f>T("   NE")</f>
        <v xml:space="preserve">   NE</v>
      </c>
      <c r="B1000" t="str">
        <f>T("   Niger")</f>
        <v xml:space="preserve">   Niger</v>
      </c>
      <c r="C1000">
        <v>135750166</v>
      </c>
      <c r="D1000">
        <v>370000</v>
      </c>
    </row>
    <row r="1001" spans="1:4" x14ac:dyDescent="0.25">
      <c r="A1001" t="str">
        <f>T("   NL")</f>
        <v xml:space="preserve">   NL</v>
      </c>
      <c r="B1001" t="str">
        <f>T("   Pays-bas")</f>
        <v xml:space="preserve">   Pays-bas</v>
      </c>
      <c r="C1001">
        <v>4305405</v>
      </c>
      <c r="D1001">
        <v>6075</v>
      </c>
    </row>
    <row r="1002" spans="1:4" x14ac:dyDescent="0.25">
      <c r="A1002" t="str">
        <f>T("   SG")</f>
        <v xml:space="preserve">   SG</v>
      </c>
      <c r="B1002" t="str">
        <f>T("   Singapour")</f>
        <v xml:space="preserve">   Singapour</v>
      </c>
      <c r="C1002">
        <v>3317444</v>
      </c>
      <c r="D1002">
        <v>4680</v>
      </c>
    </row>
    <row r="1003" spans="1:4" x14ac:dyDescent="0.25">
      <c r="A1003" t="str">
        <f>T("   TD")</f>
        <v xml:space="preserve">   TD</v>
      </c>
      <c r="B1003" t="str">
        <f>T("   Tchad")</f>
        <v xml:space="preserve">   Tchad</v>
      </c>
      <c r="C1003">
        <v>506210173</v>
      </c>
      <c r="D1003">
        <v>1298000</v>
      </c>
    </row>
    <row r="1004" spans="1:4" x14ac:dyDescent="0.25">
      <c r="A1004" t="str">
        <f>T("721499")</f>
        <v>721499</v>
      </c>
      <c r="B1004" t="str">
        <f>T("BARRES EN FER OU EN ACIERS NON-ALLIÉS, SIMPL. LAMINÉES OU FILÉES À CHAUD (À L'EXCL. DE SECTION TRANSVERSALE RECTANGULAIRE, DES BARRES COMPORTANT DES INDENTATIONS, BOURRELETS, CREUX OU RELIEFS OBTENUS AU COURS DU LAMINAGE OU AYANT SUBI UNE TORSION APRÈS LA")</f>
        <v>BARRES EN FER OU EN ACIERS NON-ALLIÉS, SIMPL. LAMINÉES OU FILÉES À CHAUD (À L'EXCL. DE SECTION TRANSVERSALE RECTANGULAIRE, DES BARRES COMPORTANT DES INDENTATIONS, BOURRELETS, CREUX OU RELIEFS OBTENUS AU COURS DU LAMINAGE OU AYANT SUBI UNE TORSION APRÈS LA</v>
      </c>
    </row>
    <row r="1005" spans="1:4" x14ac:dyDescent="0.25">
      <c r="A1005" t="str">
        <f>T("   ZZZ_Monde")</f>
        <v xml:space="preserve">   ZZZ_Monde</v>
      </c>
      <c r="B1005" t="str">
        <f>T("   ZZZ_Monde")</f>
        <v xml:space="preserve">   ZZZ_Monde</v>
      </c>
      <c r="C1005">
        <v>2401536</v>
      </c>
      <c r="D1005">
        <v>3960</v>
      </c>
    </row>
    <row r="1006" spans="1:4" x14ac:dyDescent="0.25">
      <c r="A1006" t="str">
        <f>T("   GH")</f>
        <v xml:space="preserve">   GH</v>
      </c>
      <c r="B1006" t="str">
        <f>T("   Ghana")</f>
        <v xml:space="preserve">   Ghana</v>
      </c>
      <c r="C1006">
        <v>2401536</v>
      </c>
      <c r="D1006">
        <v>3960</v>
      </c>
    </row>
    <row r="1007" spans="1:4" x14ac:dyDescent="0.25">
      <c r="A1007" t="str">
        <f>T("721590")</f>
        <v>721590</v>
      </c>
      <c r="B1007" t="str">
        <f>T("Barres en fer ou en aciers non alliés, obtenues ou parachevées à froid et ayant subi certaines ouvraisons plus poussées ou obtenues à chaud et ayant subi certaines ouvraisons plus poussées, n.d.a.")</f>
        <v>Barres en fer ou en aciers non alliés, obtenues ou parachevées à froid et ayant subi certaines ouvraisons plus poussées ou obtenues à chaud et ayant subi certaines ouvraisons plus poussées, n.d.a.</v>
      </c>
    </row>
    <row r="1008" spans="1:4" x14ac:dyDescent="0.25">
      <c r="A1008" t="str">
        <f>T("   ZZZ_Monde")</f>
        <v xml:space="preserve">   ZZZ_Monde</v>
      </c>
      <c r="B1008" t="str">
        <f>T("   ZZZ_Monde")</f>
        <v xml:space="preserve">   ZZZ_Monde</v>
      </c>
      <c r="C1008">
        <v>9434919526</v>
      </c>
      <c r="D1008">
        <v>21297987</v>
      </c>
    </row>
    <row r="1009" spans="1:4" x14ac:dyDescent="0.25">
      <c r="A1009" t="str">
        <f>T("   NE")</f>
        <v xml:space="preserve">   NE</v>
      </c>
      <c r="B1009" t="str">
        <f>T("   Niger")</f>
        <v xml:space="preserve">   Niger</v>
      </c>
      <c r="C1009">
        <v>1444472457</v>
      </c>
      <c r="D1009">
        <v>4888977</v>
      </c>
    </row>
    <row r="1010" spans="1:4" x14ac:dyDescent="0.25">
      <c r="A1010" t="str">
        <f>T("   NG")</f>
        <v xml:space="preserve">   NG</v>
      </c>
      <c r="B1010" t="str">
        <f>T("   Nigéria")</f>
        <v xml:space="preserve">   Nigéria</v>
      </c>
      <c r="C1010">
        <v>81000054</v>
      </c>
      <c r="D1010">
        <v>180000</v>
      </c>
    </row>
    <row r="1011" spans="1:4" x14ac:dyDescent="0.25">
      <c r="A1011" t="str">
        <f>T("   TD")</f>
        <v xml:space="preserve">   TD</v>
      </c>
      <c r="B1011" t="str">
        <f>T("   Tchad")</f>
        <v xml:space="preserve">   Tchad</v>
      </c>
      <c r="C1011">
        <v>7909447015</v>
      </c>
      <c r="D1011">
        <v>16229010</v>
      </c>
    </row>
    <row r="1012" spans="1:4" x14ac:dyDescent="0.25">
      <c r="A1012" t="str">
        <f>T("721610")</f>
        <v>721610</v>
      </c>
      <c r="B1012" t="str">
        <f>T("PROFILÉS U, I OU H EN FER OU EN ACIERS NON ALLIÉS, SIMPLEMENT LAMINÉS OU FILÉS À CHAUD, HAUTEUR &lt; 80 MM")</f>
        <v>PROFILÉS U, I OU H EN FER OU EN ACIERS NON ALLIÉS, SIMPLEMENT LAMINÉS OU FILÉS À CHAUD, HAUTEUR &lt; 80 MM</v>
      </c>
    </row>
    <row r="1013" spans="1:4" x14ac:dyDescent="0.25">
      <c r="A1013" t="str">
        <f>T("   ZZZ_Monde")</f>
        <v xml:space="preserve">   ZZZ_Monde</v>
      </c>
      <c r="B1013" t="str">
        <f>T("   ZZZ_Monde")</f>
        <v xml:space="preserve">   ZZZ_Monde</v>
      </c>
      <c r="C1013">
        <v>241451356</v>
      </c>
      <c r="D1013">
        <v>423000</v>
      </c>
    </row>
    <row r="1014" spans="1:4" x14ac:dyDescent="0.25">
      <c r="A1014" t="str">
        <f>T("   GA")</f>
        <v xml:space="preserve">   GA</v>
      </c>
      <c r="B1014" t="str">
        <f>T("   Gabon")</f>
        <v xml:space="preserve">   Gabon</v>
      </c>
      <c r="C1014">
        <v>13081082</v>
      </c>
      <c r="D1014">
        <v>21000</v>
      </c>
    </row>
    <row r="1015" spans="1:4" x14ac:dyDescent="0.25">
      <c r="A1015" t="str">
        <f>T("   TD")</f>
        <v xml:space="preserve">   TD</v>
      </c>
      <c r="B1015" t="str">
        <f>T("   Tchad")</f>
        <v xml:space="preserve">   Tchad</v>
      </c>
      <c r="C1015">
        <v>228370274</v>
      </c>
      <c r="D1015">
        <v>402000</v>
      </c>
    </row>
    <row r="1016" spans="1:4" x14ac:dyDescent="0.25">
      <c r="A1016" t="str">
        <f>T("721622")</f>
        <v>721622</v>
      </c>
      <c r="B1016" t="str">
        <f>T("PROFILÉS EN T EN FER OU ACIERS NON ALLIÉS, SIMPLEMENT LAMINÉS OU FILÉS À CHAUD, HAUTEUR &lt; 80 MM")</f>
        <v>PROFILÉS EN T EN FER OU ACIERS NON ALLIÉS, SIMPLEMENT LAMINÉS OU FILÉS À CHAUD, HAUTEUR &lt; 80 MM</v>
      </c>
    </row>
    <row r="1017" spans="1:4" x14ac:dyDescent="0.25">
      <c r="A1017" t="str">
        <f>T("   ZZZ_Monde")</f>
        <v xml:space="preserve">   ZZZ_Monde</v>
      </c>
      <c r="B1017" t="str">
        <f>T("   ZZZ_Monde")</f>
        <v xml:space="preserve">   ZZZ_Monde</v>
      </c>
      <c r="C1017">
        <v>12420000</v>
      </c>
      <c r="D1017">
        <v>23000</v>
      </c>
    </row>
    <row r="1018" spans="1:4" x14ac:dyDescent="0.25">
      <c r="A1018" t="str">
        <f>T("   TD")</f>
        <v xml:space="preserve">   TD</v>
      </c>
      <c r="B1018" t="str">
        <f>T("   Tchad")</f>
        <v xml:space="preserve">   Tchad</v>
      </c>
      <c r="C1018">
        <v>12420000</v>
      </c>
      <c r="D1018">
        <v>23000</v>
      </c>
    </row>
    <row r="1019" spans="1:4" x14ac:dyDescent="0.25">
      <c r="A1019" t="str">
        <f>T("721631")</f>
        <v>721631</v>
      </c>
      <c r="B1019" t="str">
        <f>T("PROFILÉS EN U, EN FER OU EN ACIERS NON-ALLIÉS, SIMPL. LAMINÉS OU FILÉS À CHAUD, D'UNE HAUTEUR &gt;= 80 MM")</f>
        <v>PROFILÉS EN U, EN FER OU EN ACIERS NON-ALLIÉS, SIMPL. LAMINÉS OU FILÉS À CHAUD, D'UNE HAUTEUR &gt;= 80 MM</v>
      </c>
    </row>
    <row r="1020" spans="1:4" x14ac:dyDescent="0.25">
      <c r="A1020" t="str">
        <f>T("   ZZZ_Monde")</f>
        <v xml:space="preserve">   ZZZ_Monde</v>
      </c>
      <c r="B1020" t="str">
        <f>T("   ZZZ_Monde")</f>
        <v xml:space="preserve">   ZZZ_Monde</v>
      </c>
      <c r="C1020">
        <v>133791911</v>
      </c>
      <c r="D1020">
        <v>247000</v>
      </c>
    </row>
    <row r="1021" spans="1:4" x14ac:dyDescent="0.25">
      <c r="A1021" t="str">
        <f>T("   TD")</f>
        <v xml:space="preserve">   TD</v>
      </c>
      <c r="B1021" t="str">
        <f>T("   Tchad")</f>
        <v xml:space="preserve">   Tchad</v>
      </c>
      <c r="C1021">
        <v>133791911</v>
      </c>
      <c r="D1021">
        <v>247000</v>
      </c>
    </row>
    <row r="1022" spans="1:4" x14ac:dyDescent="0.25">
      <c r="A1022" t="str">
        <f>T("721633")</f>
        <v>721633</v>
      </c>
      <c r="B1022" t="str">
        <f>T("PROFILÉS EN H, EN FER OU EN ACIERS NON-ALLIÉS, SIMPL. LAMINÉS OU FILÉS À CHAUD, D'UNE HAUTEUR &gt;= 80 MM")</f>
        <v>PROFILÉS EN H, EN FER OU EN ACIERS NON-ALLIÉS, SIMPL. LAMINÉS OU FILÉS À CHAUD, D'UNE HAUTEUR &gt;= 80 MM</v>
      </c>
    </row>
    <row r="1023" spans="1:4" x14ac:dyDescent="0.25">
      <c r="A1023" t="str">
        <f>T("   ZZZ_Monde")</f>
        <v xml:space="preserve">   ZZZ_Monde</v>
      </c>
      <c r="B1023" t="str">
        <f>T("   ZZZ_Monde")</f>
        <v xml:space="preserve">   ZZZ_Monde</v>
      </c>
      <c r="C1023">
        <v>240126422</v>
      </c>
      <c r="D1023">
        <v>447486</v>
      </c>
    </row>
    <row r="1024" spans="1:4" x14ac:dyDescent="0.25">
      <c r="A1024" t="str">
        <f>T("   TD")</f>
        <v xml:space="preserve">   TD</v>
      </c>
      <c r="B1024" t="str">
        <f>T("   Tchad")</f>
        <v xml:space="preserve">   Tchad</v>
      </c>
      <c r="C1024">
        <v>240126422</v>
      </c>
      <c r="D1024">
        <v>447486</v>
      </c>
    </row>
    <row r="1025" spans="1:4" x14ac:dyDescent="0.25">
      <c r="A1025" t="str">
        <f>T("721640")</f>
        <v>721640</v>
      </c>
      <c r="B1025" t="str">
        <f>T("PROFILÉS EN L OU EN T, EN FER OU EN ACIERS NON-ALLIÉS, SIMPL. LAMINÉS OU FILÉS À CHAUD, D'UNE HAUTEUR &gt;= 80 MM")</f>
        <v>PROFILÉS EN L OU EN T, EN FER OU EN ACIERS NON-ALLIÉS, SIMPL. LAMINÉS OU FILÉS À CHAUD, D'UNE HAUTEUR &gt;= 80 MM</v>
      </c>
    </row>
    <row r="1026" spans="1:4" x14ac:dyDescent="0.25">
      <c r="A1026" t="str">
        <f>T("   ZZZ_Monde")</f>
        <v xml:space="preserve">   ZZZ_Monde</v>
      </c>
      <c r="B1026" t="str">
        <f>T("   ZZZ_Monde")</f>
        <v xml:space="preserve">   ZZZ_Monde</v>
      </c>
      <c r="C1026">
        <v>8100000</v>
      </c>
      <c r="D1026">
        <v>15000</v>
      </c>
    </row>
    <row r="1027" spans="1:4" x14ac:dyDescent="0.25">
      <c r="A1027" t="str">
        <f>T("   TD")</f>
        <v xml:space="preserve">   TD</v>
      </c>
      <c r="B1027" t="str">
        <f>T("   Tchad")</f>
        <v xml:space="preserve">   Tchad</v>
      </c>
      <c r="C1027">
        <v>8100000</v>
      </c>
      <c r="D1027">
        <v>15000</v>
      </c>
    </row>
    <row r="1028" spans="1:4" x14ac:dyDescent="0.25">
      <c r="A1028" t="str">
        <f>T("721650")</f>
        <v>721650</v>
      </c>
      <c r="B1028" t="str">
        <f>T("PROFILÉS, EN FER OU EN ACIERS NON-ALLIÉS, SIMPL. LAMINÉS OU FILÉS À CHAUD (À L'EXCL. DES PROFILÉS EN U, EN I, EN H, EN L OU EN T)")</f>
        <v>PROFILÉS, EN FER OU EN ACIERS NON-ALLIÉS, SIMPL. LAMINÉS OU FILÉS À CHAUD (À L'EXCL. DES PROFILÉS EN U, EN I, EN H, EN L OU EN T)</v>
      </c>
    </row>
    <row r="1029" spans="1:4" x14ac:dyDescent="0.25">
      <c r="A1029" t="str">
        <f>T("   ZZZ_Monde")</f>
        <v xml:space="preserve">   ZZZ_Monde</v>
      </c>
      <c r="B1029" t="str">
        <f>T("   ZZZ_Monde")</f>
        <v xml:space="preserve">   ZZZ_Monde</v>
      </c>
      <c r="C1029">
        <v>80229940</v>
      </c>
      <c r="D1029">
        <v>136390</v>
      </c>
    </row>
    <row r="1030" spans="1:4" x14ac:dyDescent="0.25">
      <c r="A1030" t="str">
        <f>T("   TD")</f>
        <v xml:space="preserve">   TD</v>
      </c>
      <c r="B1030" t="str">
        <f>T("   Tchad")</f>
        <v xml:space="preserve">   Tchad</v>
      </c>
      <c r="C1030">
        <v>80229940</v>
      </c>
      <c r="D1030">
        <v>136390</v>
      </c>
    </row>
    <row r="1031" spans="1:4" x14ac:dyDescent="0.25">
      <c r="A1031" t="str">
        <f>T("721661")</f>
        <v>721661</v>
      </c>
      <c r="B1031" t="str">
        <f>T("PROFILÉS EN FER OU ACIERS NON-ALLIÉS, SIMPL. OBTENUS À FROID À PARTIR DE PRODUITS LAMINÉS PLATS (À L'EXCL. DES TÔLES NERVURÉES)")</f>
        <v>PROFILÉS EN FER OU ACIERS NON-ALLIÉS, SIMPL. OBTENUS À FROID À PARTIR DE PRODUITS LAMINÉS PLATS (À L'EXCL. DES TÔLES NERVURÉES)</v>
      </c>
    </row>
    <row r="1032" spans="1:4" x14ac:dyDescent="0.25">
      <c r="A1032" t="str">
        <f>T("   ZZZ_Monde")</f>
        <v xml:space="preserve">   ZZZ_Monde</v>
      </c>
      <c r="B1032" t="str">
        <f>T("   ZZZ_Monde")</f>
        <v xml:space="preserve">   ZZZ_Monde</v>
      </c>
      <c r="C1032">
        <v>35749989</v>
      </c>
      <c r="D1032">
        <v>65000</v>
      </c>
    </row>
    <row r="1033" spans="1:4" x14ac:dyDescent="0.25">
      <c r="A1033" t="str">
        <f>T("   TD")</f>
        <v xml:space="preserve">   TD</v>
      </c>
      <c r="B1033" t="str">
        <f>T("   Tchad")</f>
        <v xml:space="preserve">   Tchad</v>
      </c>
      <c r="C1033">
        <v>35749989</v>
      </c>
      <c r="D1033">
        <v>65000</v>
      </c>
    </row>
    <row r="1034" spans="1:4" x14ac:dyDescent="0.25">
      <c r="A1034" t="str">
        <f>T("721669")</f>
        <v>721669</v>
      </c>
      <c r="B1034" t="str">
        <f>T("Profilés en fer ou en aciers non alliés, simplement obtenus ou parachevés à froid (à l'excl. des profilés obtenus à partir de produits laminés plats et des tôles nervurées)")</f>
        <v>Profilés en fer ou en aciers non alliés, simplement obtenus ou parachevés à froid (à l'excl. des profilés obtenus à partir de produits laminés plats et des tôles nervurées)</v>
      </c>
    </row>
    <row r="1035" spans="1:4" x14ac:dyDescent="0.25">
      <c r="A1035" t="str">
        <f>T("   ZZZ_Monde")</f>
        <v xml:space="preserve">   ZZZ_Monde</v>
      </c>
      <c r="B1035" t="str">
        <f>T("   ZZZ_Monde")</f>
        <v xml:space="preserve">   ZZZ_Monde</v>
      </c>
      <c r="C1035">
        <v>203100364</v>
      </c>
      <c r="D1035">
        <v>415520</v>
      </c>
    </row>
    <row r="1036" spans="1:4" x14ac:dyDescent="0.25">
      <c r="A1036" t="str">
        <f>T("   TD")</f>
        <v xml:space="preserve">   TD</v>
      </c>
      <c r="B1036" t="str">
        <f>T("   Tchad")</f>
        <v xml:space="preserve">   Tchad</v>
      </c>
      <c r="C1036">
        <v>203100364</v>
      </c>
      <c r="D1036">
        <v>415520</v>
      </c>
    </row>
    <row r="1037" spans="1:4" x14ac:dyDescent="0.25">
      <c r="A1037" t="str">
        <f>T("721699")</f>
        <v>721699</v>
      </c>
      <c r="B1037" t="str">
        <f>T("Profilés en fer ou en aciers non alliés, obtenus ou parachevés à froid et ayant subi certaines ouvraisons plus poussées (autres que obtenus à partir de produits laminés plats) ou simplement forgés ou forgés ou autrement obtenus à chaud et ayant subi certa")</f>
        <v>Profilés en fer ou en aciers non alliés, obtenus ou parachevés à froid et ayant subi certaines ouvraisons plus poussées (autres que obtenus à partir de produits laminés plats) ou simplement forgés ou forgés ou autrement obtenus à chaud et ayant subi certa</v>
      </c>
    </row>
    <row r="1038" spans="1:4" x14ac:dyDescent="0.25">
      <c r="A1038" t="str">
        <f>T("   ZZZ_Monde")</f>
        <v xml:space="preserve">   ZZZ_Monde</v>
      </c>
      <c r="B1038" t="str">
        <f>T("   ZZZ_Monde")</f>
        <v xml:space="preserve">   ZZZ_Monde</v>
      </c>
      <c r="C1038">
        <v>4240004</v>
      </c>
      <c r="D1038">
        <v>8000</v>
      </c>
    </row>
    <row r="1039" spans="1:4" x14ac:dyDescent="0.25">
      <c r="A1039" t="str">
        <f>T("   TD")</f>
        <v xml:space="preserve">   TD</v>
      </c>
      <c r="B1039" t="str">
        <f>T("   Tchad")</f>
        <v xml:space="preserve">   Tchad</v>
      </c>
      <c r="C1039">
        <v>4240004</v>
      </c>
      <c r="D1039">
        <v>8000</v>
      </c>
    </row>
    <row r="1040" spans="1:4" x14ac:dyDescent="0.25">
      <c r="A1040" t="str">
        <f>T("721730")</f>
        <v>721730</v>
      </c>
      <c r="B1040" t="str">
        <f>T("FILS EN FER OU EN ACIERS NON-ALLIÉS, ENROULÉS, REVÊTUS DE MÉTAUX COMMUNS (À L'EXCL. DES FILS ZINGUÉS AINSI QUE DU FIL MACHINE)")</f>
        <v>FILS EN FER OU EN ACIERS NON-ALLIÉS, ENROULÉS, REVÊTUS DE MÉTAUX COMMUNS (À L'EXCL. DES FILS ZINGUÉS AINSI QUE DU FIL MACHINE)</v>
      </c>
    </row>
    <row r="1041" spans="1:4" x14ac:dyDescent="0.25">
      <c r="A1041" t="str">
        <f>T("   ZZZ_Monde")</f>
        <v xml:space="preserve">   ZZZ_Monde</v>
      </c>
      <c r="B1041" t="str">
        <f>T("   ZZZ_Monde")</f>
        <v xml:space="preserve">   ZZZ_Monde</v>
      </c>
      <c r="C1041">
        <v>49685547</v>
      </c>
      <c r="D1041">
        <v>76296</v>
      </c>
    </row>
    <row r="1042" spans="1:4" x14ac:dyDescent="0.25">
      <c r="A1042" t="str">
        <f>T("   CN")</f>
        <v xml:space="preserve">   CN</v>
      </c>
      <c r="B1042" t="str">
        <f>T("   Chine")</f>
        <v xml:space="preserve">   Chine</v>
      </c>
      <c r="C1042">
        <v>49685547</v>
      </c>
      <c r="D1042">
        <v>76296</v>
      </c>
    </row>
    <row r="1043" spans="1:4" x14ac:dyDescent="0.25">
      <c r="A1043" t="str">
        <f>T("721790")</f>
        <v>721790</v>
      </c>
      <c r="B1043" t="str">
        <f>T("FILS EN FER OU EN ACIERS NON-ALLIÉS, ENROULÉS, REVÊTUS (À L'EXCL. DU FIL MACHINE AINSI QUE DES FILS REVÊTUS DE MÉTAUX COMMUNS)")</f>
        <v>FILS EN FER OU EN ACIERS NON-ALLIÉS, ENROULÉS, REVÊTUS (À L'EXCL. DU FIL MACHINE AINSI QUE DES FILS REVÊTUS DE MÉTAUX COMMUNS)</v>
      </c>
    </row>
    <row r="1044" spans="1:4" x14ac:dyDescent="0.25">
      <c r="A1044" t="str">
        <f>T("   ZZZ_Monde")</f>
        <v xml:space="preserve">   ZZZ_Monde</v>
      </c>
      <c r="B1044" t="str">
        <f>T("   ZZZ_Monde")</f>
        <v xml:space="preserve">   ZZZ_Monde</v>
      </c>
      <c r="C1044">
        <v>225247325</v>
      </c>
      <c r="D1044">
        <v>385000</v>
      </c>
    </row>
    <row r="1045" spans="1:4" x14ac:dyDescent="0.25">
      <c r="A1045" t="str">
        <f>T("   NG")</f>
        <v xml:space="preserve">   NG</v>
      </c>
      <c r="B1045" t="str">
        <f>T("   Nigéria")</f>
        <v xml:space="preserve">   Nigéria</v>
      </c>
      <c r="C1045">
        <v>68766450</v>
      </c>
      <c r="D1045">
        <v>135000</v>
      </c>
    </row>
    <row r="1046" spans="1:4" x14ac:dyDescent="0.25">
      <c r="A1046" t="str">
        <f>T("   TD")</f>
        <v xml:space="preserve">   TD</v>
      </c>
      <c r="B1046" t="str">
        <f>T("   Tchad")</f>
        <v xml:space="preserve">   Tchad</v>
      </c>
      <c r="C1046">
        <v>156480875</v>
      </c>
      <c r="D1046">
        <v>250000</v>
      </c>
    </row>
    <row r="1047" spans="1:4" x14ac:dyDescent="0.25">
      <c r="A1047" t="str">
        <f>T("722990")</f>
        <v>722990</v>
      </c>
      <c r="B1047" t="str">
        <f>T("FILS EN ACIERS ALLIÉS AUTRES QU'ACIERS INOXYDABLES, EN COURONNES OU EN ROULEAUX (SAUF FIL MACHINE ET FIL EN ACIERS SILICOMANGANEUX)")</f>
        <v>FILS EN ACIERS ALLIÉS AUTRES QU'ACIERS INOXYDABLES, EN COURONNES OU EN ROULEAUX (SAUF FIL MACHINE ET FIL EN ACIERS SILICOMANGANEUX)</v>
      </c>
    </row>
    <row r="1048" spans="1:4" x14ac:dyDescent="0.25">
      <c r="A1048" t="str">
        <f>T("   ZZZ_Monde")</f>
        <v xml:space="preserve">   ZZZ_Monde</v>
      </c>
      <c r="B1048" t="str">
        <f>T("   ZZZ_Monde")</f>
        <v xml:space="preserve">   ZZZ_Monde</v>
      </c>
      <c r="C1048">
        <v>617707</v>
      </c>
      <c r="D1048">
        <v>283</v>
      </c>
    </row>
    <row r="1049" spans="1:4" x14ac:dyDescent="0.25">
      <c r="A1049" t="str">
        <f>T("   CI")</f>
        <v xml:space="preserve">   CI</v>
      </c>
      <c r="B1049" t="str">
        <f>T("   Côte d'Ivoire")</f>
        <v xml:space="preserve">   Côte d'Ivoire</v>
      </c>
      <c r="C1049">
        <v>617707</v>
      </c>
      <c r="D1049">
        <v>283</v>
      </c>
    </row>
    <row r="1050" spans="1:4" x14ac:dyDescent="0.25">
      <c r="A1050" t="str">
        <f>T("730690")</f>
        <v>730690</v>
      </c>
      <c r="B1050" t="str">
        <f>T("Tubes, tuyaux et profilés creux [p.ex. rivés, agrafés ou à bords simplement rapprochés], en fer ou en acier (sauf tubes sans soudure ou soudés et tubes de sections intérieure et extérieure circulaires et d'un diamètre extérieur &gt; 406,4 mm)")</f>
        <v>Tubes, tuyaux et profilés creux [p.ex. rivés, agrafés ou à bords simplement rapprochés], en fer ou en acier (sauf tubes sans soudure ou soudés et tubes de sections intérieure et extérieure circulaires et d'un diamètre extérieur &gt; 406,4 mm)</v>
      </c>
    </row>
    <row r="1051" spans="1:4" x14ac:dyDescent="0.25">
      <c r="A1051" t="str">
        <f>T("   ZZZ_Monde")</f>
        <v xml:space="preserve">   ZZZ_Monde</v>
      </c>
      <c r="B1051" t="str">
        <f>T("   ZZZ_Monde")</f>
        <v xml:space="preserve">   ZZZ_Monde</v>
      </c>
      <c r="C1051">
        <v>5174998</v>
      </c>
      <c r="D1051">
        <v>9000</v>
      </c>
    </row>
    <row r="1052" spans="1:4" x14ac:dyDescent="0.25">
      <c r="A1052" t="str">
        <f>T("   TD")</f>
        <v xml:space="preserve">   TD</v>
      </c>
      <c r="B1052" t="str">
        <f>T("   Tchad")</f>
        <v xml:space="preserve">   Tchad</v>
      </c>
      <c r="C1052">
        <v>5174998</v>
      </c>
      <c r="D1052">
        <v>9000</v>
      </c>
    </row>
    <row r="1053" spans="1:4" x14ac:dyDescent="0.25">
      <c r="A1053" t="str">
        <f>T("730820")</f>
        <v>730820</v>
      </c>
      <c r="B1053" t="str">
        <f>T("Tours et pylônes, en fer ou en acier")</f>
        <v>Tours et pylônes, en fer ou en acier</v>
      </c>
    </row>
    <row r="1054" spans="1:4" x14ac:dyDescent="0.25">
      <c r="A1054" t="str">
        <f>T("   ZZZ_Monde")</f>
        <v xml:space="preserve">   ZZZ_Monde</v>
      </c>
      <c r="B1054" t="str">
        <f>T("   ZZZ_Monde")</f>
        <v xml:space="preserve">   ZZZ_Monde</v>
      </c>
      <c r="C1054">
        <v>67983847</v>
      </c>
      <c r="D1054">
        <v>143000</v>
      </c>
    </row>
    <row r="1055" spans="1:4" x14ac:dyDescent="0.25">
      <c r="A1055" t="str">
        <f>T("   GA")</f>
        <v xml:space="preserve">   GA</v>
      </c>
      <c r="B1055" t="str">
        <f>T("   Gabon")</f>
        <v xml:space="preserve">   Gabon</v>
      </c>
      <c r="C1055">
        <v>66424265</v>
      </c>
      <c r="D1055">
        <v>135000</v>
      </c>
    </row>
    <row r="1056" spans="1:4" x14ac:dyDescent="0.25">
      <c r="A1056" t="str">
        <f>T("   GQ")</f>
        <v xml:space="preserve">   GQ</v>
      </c>
      <c r="B1056" t="str">
        <f>T("   Guinée Equatoriale")</f>
        <v xml:space="preserve">   Guinée Equatoriale</v>
      </c>
      <c r="C1056">
        <v>1559582</v>
      </c>
      <c r="D1056">
        <v>8000</v>
      </c>
    </row>
    <row r="1057" spans="1:4" x14ac:dyDescent="0.25">
      <c r="A1057" t="str">
        <f>T("730900")</f>
        <v>730900</v>
      </c>
      <c r="B1057" t="str">
        <f>T("Réservoirs, foudres, cuves et récipients simil. en fonte, fer ou acier, pour toutes matières (à l'excl. des gaz comprimés ou liquéfiés), d'une contenance &gt; 300 l, sans dispositifs mécaniques ou thermiques, même avec revêtement intérieur ou calorifuge (aut")</f>
        <v>Réservoirs, foudres, cuves et récipients simil. en fonte, fer ou acier, pour toutes matières (à l'excl. des gaz comprimés ou liquéfiés), d'une contenance &gt; 300 l, sans dispositifs mécaniques ou thermiques, même avec revêtement intérieur ou calorifuge (aut</v>
      </c>
    </row>
    <row r="1058" spans="1:4" x14ac:dyDescent="0.25">
      <c r="A1058" t="str">
        <f>T("   ZZZ_Monde")</f>
        <v xml:space="preserve">   ZZZ_Monde</v>
      </c>
      <c r="B1058" t="str">
        <f>T("   ZZZ_Monde")</f>
        <v xml:space="preserve">   ZZZ_Monde</v>
      </c>
      <c r="C1058">
        <v>5996791</v>
      </c>
      <c r="D1058">
        <v>18450</v>
      </c>
    </row>
    <row r="1059" spans="1:4" x14ac:dyDescent="0.25">
      <c r="A1059" t="str">
        <f>T("   FR")</f>
        <v xml:space="preserve">   FR</v>
      </c>
      <c r="B1059" t="str">
        <f>T("   France")</f>
        <v xml:space="preserve">   France</v>
      </c>
      <c r="C1059">
        <v>3300791</v>
      </c>
      <c r="D1059">
        <v>250</v>
      </c>
    </row>
    <row r="1060" spans="1:4" x14ac:dyDescent="0.25">
      <c r="A1060" t="str">
        <f>T("   TG")</f>
        <v xml:space="preserve">   TG</v>
      </c>
      <c r="B1060" t="str">
        <f>T("   Togo")</f>
        <v xml:space="preserve">   Togo</v>
      </c>
      <c r="C1060">
        <v>2696000</v>
      </c>
      <c r="D1060">
        <v>18200</v>
      </c>
    </row>
    <row r="1061" spans="1:4" x14ac:dyDescent="0.25">
      <c r="A1061" t="str">
        <f>T("731021")</f>
        <v>731021</v>
      </c>
      <c r="B1061" t="str">
        <f>T("Boîtes en fer ou en acier, contenance &lt; 50 l, à fermer par soudage ou sertissage (sauf pour gaz comprimés ou liquéfiés)")</f>
        <v>Boîtes en fer ou en acier, contenance &lt; 50 l, à fermer par soudage ou sertissage (sauf pour gaz comprimés ou liquéfiés)</v>
      </c>
    </row>
    <row r="1062" spans="1:4" x14ac:dyDescent="0.25">
      <c r="A1062" t="str">
        <f>T("   ZZZ_Monde")</f>
        <v xml:space="preserve">   ZZZ_Monde</v>
      </c>
      <c r="B1062" t="str">
        <f>T("   ZZZ_Monde")</f>
        <v xml:space="preserve">   ZZZ_Monde</v>
      </c>
      <c r="C1062">
        <v>34389054</v>
      </c>
      <c r="D1062">
        <v>76618</v>
      </c>
    </row>
    <row r="1063" spans="1:4" x14ac:dyDescent="0.25">
      <c r="A1063" t="str">
        <f>T("   BF")</f>
        <v xml:space="preserve">   BF</v>
      </c>
      <c r="B1063" t="str">
        <f>T("   Burkina Faso")</f>
        <v xml:space="preserve">   Burkina Faso</v>
      </c>
      <c r="C1063">
        <v>13699643</v>
      </c>
      <c r="D1063">
        <v>29805</v>
      </c>
    </row>
    <row r="1064" spans="1:4" x14ac:dyDescent="0.25">
      <c r="A1064" t="str">
        <f>T("   ML")</f>
        <v xml:space="preserve">   ML</v>
      </c>
      <c r="B1064" t="str">
        <f>T("   Mali")</f>
        <v xml:space="preserve">   Mali</v>
      </c>
      <c r="C1064">
        <v>5582254</v>
      </c>
      <c r="D1064">
        <v>10447</v>
      </c>
    </row>
    <row r="1065" spans="1:4" x14ac:dyDescent="0.25">
      <c r="A1065" t="str">
        <f>T("   NE")</f>
        <v xml:space="preserve">   NE</v>
      </c>
      <c r="B1065" t="str">
        <f>T("   Niger")</f>
        <v xml:space="preserve">   Niger</v>
      </c>
      <c r="C1065">
        <v>5744696</v>
      </c>
      <c r="D1065">
        <v>11154</v>
      </c>
    </row>
    <row r="1066" spans="1:4" x14ac:dyDescent="0.25">
      <c r="A1066" t="str">
        <f>T("   SN")</f>
        <v xml:space="preserve">   SN</v>
      </c>
      <c r="B1066" t="str">
        <f>T("   Sénégal")</f>
        <v xml:space="preserve">   Sénégal</v>
      </c>
      <c r="C1066">
        <v>9362461</v>
      </c>
      <c r="D1066">
        <v>25212</v>
      </c>
    </row>
    <row r="1067" spans="1:4" x14ac:dyDescent="0.25">
      <c r="A1067" t="str">
        <f>T("731100")</f>
        <v>731100</v>
      </c>
      <c r="B1067" t="str">
        <f>T("Récipients en fonte, fer ou acier, pour gaz comprimés ou liquéfiés (autres que conteneurs spécialement conçus ou équipés pour un ou plusieurs moyens de transport)")</f>
        <v>Récipients en fonte, fer ou acier, pour gaz comprimés ou liquéfiés (autres que conteneurs spécialement conçus ou équipés pour un ou plusieurs moyens de transport)</v>
      </c>
    </row>
    <row r="1068" spans="1:4" x14ac:dyDescent="0.25">
      <c r="A1068" t="str">
        <f>T("   ZZZ_Monde")</f>
        <v xml:space="preserve">   ZZZ_Monde</v>
      </c>
      <c r="B1068" t="str">
        <f>T("   ZZZ_Monde")</f>
        <v xml:space="preserve">   ZZZ_Monde</v>
      </c>
      <c r="C1068">
        <v>1203031</v>
      </c>
      <c r="D1068">
        <v>91</v>
      </c>
    </row>
    <row r="1069" spans="1:4" x14ac:dyDescent="0.25">
      <c r="A1069" t="str">
        <f>T("   FR")</f>
        <v xml:space="preserve">   FR</v>
      </c>
      <c r="B1069" t="str">
        <f>T("   France")</f>
        <v xml:space="preserve">   France</v>
      </c>
      <c r="C1069">
        <v>1203031</v>
      </c>
      <c r="D1069">
        <v>91</v>
      </c>
    </row>
    <row r="1070" spans="1:4" x14ac:dyDescent="0.25">
      <c r="A1070" t="str">
        <f>T("731700")</f>
        <v>731700</v>
      </c>
      <c r="B1070" t="str">
        <f>T("Pointes, clous, punaises, crampons appointés, agrafes ondulées ou biseautées et articles simil., en fonte, fer ou acier, même avec tête en autre matière (à l'excl. de ceux avec tête en cuivre et à l'excl. des agrafes en barrettes)")</f>
        <v>Pointes, clous, punaises, crampons appointés, agrafes ondulées ou biseautées et articles simil., en fonte, fer ou acier, même avec tête en autre matière (à l'excl. de ceux avec tête en cuivre et à l'excl. des agrafes en barrettes)</v>
      </c>
    </row>
    <row r="1071" spans="1:4" x14ac:dyDescent="0.25">
      <c r="A1071" t="str">
        <f>T("   ZZZ_Monde")</f>
        <v xml:space="preserve">   ZZZ_Monde</v>
      </c>
      <c r="B1071" t="str">
        <f>T("   ZZZ_Monde")</f>
        <v xml:space="preserve">   ZZZ_Monde</v>
      </c>
      <c r="C1071">
        <v>731426267</v>
      </c>
      <c r="D1071">
        <v>1219000</v>
      </c>
    </row>
    <row r="1072" spans="1:4" x14ac:dyDescent="0.25">
      <c r="A1072" t="str">
        <f>T("   NE")</f>
        <v xml:space="preserve">   NE</v>
      </c>
      <c r="B1072" t="str">
        <f>T("   Niger")</f>
        <v xml:space="preserve">   Niger</v>
      </c>
      <c r="C1072">
        <v>25536000</v>
      </c>
      <c r="D1072">
        <v>48000</v>
      </c>
    </row>
    <row r="1073" spans="1:4" x14ac:dyDescent="0.25">
      <c r="A1073" t="str">
        <f>T("   NG")</f>
        <v xml:space="preserve">   NG</v>
      </c>
      <c r="B1073" t="str">
        <f>T("   Nigéria")</f>
        <v xml:space="preserve">   Nigéria</v>
      </c>
      <c r="C1073">
        <v>15759864</v>
      </c>
      <c r="D1073">
        <v>30000</v>
      </c>
    </row>
    <row r="1074" spans="1:4" x14ac:dyDescent="0.25">
      <c r="A1074" t="str">
        <f>T("   TD")</f>
        <v xml:space="preserve">   TD</v>
      </c>
      <c r="B1074" t="str">
        <f>T("   Tchad")</f>
        <v xml:space="preserve">   Tchad</v>
      </c>
      <c r="C1074">
        <v>690130403</v>
      </c>
      <c r="D1074">
        <v>1141000</v>
      </c>
    </row>
    <row r="1075" spans="1:4" x14ac:dyDescent="0.25">
      <c r="A1075" t="str">
        <f>T("731815")</f>
        <v>731815</v>
      </c>
      <c r="B1075" t="str">
        <f>T("Vis et boulons filetés, en fonte, fer ou acier, même avec leurs écrous ou rondelles (à l'excl. des tire-fond et autres vis à bois, crochets et pitons à pas de vis, vis autotaraudeuses, clous taraudeurs ainsi que des chevilles vissées, tampons et articles")</f>
        <v>Vis et boulons filetés, en fonte, fer ou acier, même avec leurs écrous ou rondelles (à l'excl. des tire-fond et autres vis à bois, crochets et pitons à pas de vis, vis autotaraudeuses, clous taraudeurs ainsi que des chevilles vissées, tampons et articles</v>
      </c>
    </row>
    <row r="1076" spans="1:4" x14ac:dyDescent="0.25">
      <c r="A1076" t="str">
        <f>T("   ZZZ_Monde")</f>
        <v xml:space="preserve">   ZZZ_Monde</v>
      </c>
      <c r="B1076" t="str">
        <f>T("   ZZZ_Monde")</f>
        <v xml:space="preserve">   ZZZ_Monde</v>
      </c>
      <c r="C1076">
        <v>92565</v>
      </c>
      <c r="D1076">
        <v>18</v>
      </c>
    </row>
    <row r="1077" spans="1:4" x14ac:dyDescent="0.25">
      <c r="A1077" t="str">
        <f>T("   GB")</f>
        <v xml:space="preserve">   GB</v>
      </c>
      <c r="B1077" t="str">
        <f>T("   Royaume-Uni")</f>
        <v xml:space="preserve">   Royaume-Uni</v>
      </c>
      <c r="C1077">
        <v>92565</v>
      </c>
      <c r="D1077">
        <v>18</v>
      </c>
    </row>
    <row r="1078" spans="1:4" x14ac:dyDescent="0.25">
      <c r="A1078" t="str">
        <f>T("732393")</f>
        <v>732393</v>
      </c>
      <c r="B1078" t="str">
        <f>T("Articles de ménage ou d'économie domestique et leurs parties, en aciers inoxydables (à l'excl. des bidons, boîtes et récipients simil. du n° 7310; poubelles; pelles, tire-bouchons et autres articles à caractère d'outils; coutellerie et cuillers, louches,")</f>
        <v>Articles de ménage ou d'économie domestique et leurs parties, en aciers inoxydables (à l'excl. des bidons, boîtes et récipients simil. du n° 7310; poubelles; pelles, tire-bouchons et autres articles à caractère d'outils; coutellerie et cuillers, louches,</v>
      </c>
    </row>
    <row r="1079" spans="1:4" x14ac:dyDescent="0.25">
      <c r="A1079" t="str">
        <f>T("   ZZZ_Monde")</f>
        <v xml:space="preserve">   ZZZ_Monde</v>
      </c>
      <c r="B1079" t="str">
        <f>T("   ZZZ_Monde")</f>
        <v xml:space="preserve">   ZZZ_Monde</v>
      </c>
      <c r="C1079">
        <v>5776982</v>
      </c>
      <c r="D1079">
        <v>9000</v>
      </c>
    </row>
    <row r="1080" spans="1:4" x14ac:dyDescent="0.25">
      <c r="A1080" t="str">
        <f>T("   BF")</f>
        <v xml:space="preserve">   BF</v>
      </c>
      <c r="B1080" t="str">
        <f>T("   Burkina Faso")</f>
        <v xml:space="preserve">   Burkina Faso</v>
      </c>
      <c r="C1080">
        <v>1008424</v>
      </c>
      <c r="D1080">
        <v>1571</v>
      </c>
    </row>
    <row r="1081" spans="1:4" x14ac:dyDescent="0.25">
      <c r="A1081" t="str">
        <f>T("   ML")</f>
        <v xml:space="preserve">   ML</v>
      </c>
      <c r="B1081" t="str">
        <f>T("   Mali")</f>
        <v xml:space="preserve">   Mali</v>
      </c>
      <c r="C1081">
        <v>4768558</v>
      </c>
      <c r="D1081">
        <v>7429</v>
      </c>
    </row>
    <row r="1082" spans="1:4" x14ac:dyDescent="0.25">
      <c r="A1082" t="str">
        <f>T("732394")</f>
        <v>732394</v>
      </c>
      <c r="B1082" t="str">
        <f>T("Articles de ménage ou d'économie domestique et leurs parties, en fer ou en aciers autres qu'inoxydables, émaillés (à l'excl. de la fonte; des bidons, boîtes et récipients simil. du n° 7310; poubelles; pelles et autres articles à caractère d'outils; cuille")</f>
        <v>Articles de ménage ou d'économie domestique et leurs parties, en fer ou en aciers autres qu'inoxydables, émaillés (à l'excl. de la fonte; des bidons, boîtes et récipients simil. du n° 7310; poubelles; pelles et autres articles à caractère d'outils; cuille</v>
      </c>
    </row>
    <row r="1083" spans="1:4" x14ac:dyDescent="0.25">
      <c r="A1083" t="str">
        <f>T("   ZZZ_Monde")</f>
        <v xml:space="preserve">   ZZZ_Monde</v>
      </c>
      <c r="B1083" t="str">
        <f>T("   ZZZ_Monde")</f>
        <v xml:space="preserve">   ZZZ_Monde</v>
      </c>
      <c r="C1083">
        <v>15266600</v>
      </c>
      <c r="D1083">
        <v>22402</v>
      </c>
    </row>
    <row r="1084" spans="1:4" x14ac:dyDescent="0.25">
      <c r="A1084" t="str">
        <f>T("   BE")</f>
        <v xml:space="preserve">   BE</v>
      </c>
      <c r="B1084" t="str">
        <f>T("   Belgique")</f>
        <v xml:space="preserve">   Belgique</v>
      </c>
      <c r="C1084">
        <v>1850000</v>
      </c>
      <c r="D1084">
        <v>3050</v>
      </c>
    </row>
    <row r="1085" spans="1:4" x14ac:dyDescent="0.25">
      <c r="A1085" t="str">
        <f>T("   BF")</f>
        <v xml:space="preserve">   BF</v>
      </c>
      <c r="B1085" t="str">
        <f>T("   Burkina Faso")</f>
        <v xml:space="preserve">   Burkina Faso</v>
      </c>
      <c r="C1085">
        <v>1100000</v>
      </c>
      <c r="D1085">
        <v>1400</v>
      </c>
    </row>
    <row r="1086" spans="1:4" x14ac:dyDescent="0.25">
      <c r="A1086" t="str">
        <f>T("   BR")</f>
        <v xml:space="preserve">   BR</v>
      </c>
      <c r="B1086" t="str">
        <f>T("   Brésil")</f>
        <v xml:space="preserve">   Brésil</v>
      </c>
      <c r="C1086">
        <v>450000</v>
      </c>
      <c r="D1086">
        <v>800</v>
      </c>
    </row>
    <row r="1087" spans="1:4" x14ac:dyDescent="0.25">
      <c r="A1087" t="str">
        <f>T("   CD")</f>
        <v xml:space="preserve">   CD</v>
      </c>
      <c r="B1087" t="str">
        <f>T("   Congo, République Démocratique")</f>
        <v xml:space="preserve">   Congo, République Démocratique</v>
      </c>
      <c r="C1087">
        <v>300000</v>
      </c>
      <c r="D1087">
        <v>400</v>
      </c>
    </row>
    <row r="1088" spans="1:4" x14ac:dyDescent="0.25">
      <c r="A1088" t="str">
        <f>T("   CH")</f>
        <v xml:space="preserve">   CH</v>
      </c>
      <c r="B1088" t="str">
        <f>T("   Suisse")</f>
        <v xml:space="preserve">   Suisse</v>
      </c>
      <c r="C1088">
        <v>400000</v>
      </c>
      <c r="D1088">
        <v>700</v>
      </c>
    </row>
    <row r="1089" spans="1:4" x14ac:dyDescent="0.25">
      <c r="A1089" t="str">
        <f>T("   CI")</f>
        <v xml:space="preserve">   CI</v>
      </c>
      <c r="B1089" t="str">
        <f>T("   Côte d'Ivoire")</f>
        <v xml:space="preserve">   Côte d'Ivoire</v>
      </c>
      <c r="C1089">
        <v>1000000</v>
      </c>
      <c r="D1089">
        <v>1050</v>
      </c>
    </row>
    <row r="1090" spans="1:4" x14ac:dyDescent="0.25">
      <c r="A1090" t="str">
        <f>T("   CM")</f>
        <v xml:space="preserve">   CM</v>
      </c>
      <c r="B1090" t="str">
        <f>T("   Cameroun")</f>
        <v xml:space="preserve">   Cameroun</v>
      </c>
      <c r="C1090">
        <v>650000</v>
      </c>
      <c r="D1090">
        <v>700</v>
      </c>
    </row>
    <row r="1091" spans="1:4" x14ac:dyDescent="0.25">
      <c r="A1091" t="str">
        <f>T("   DE")</f>
        <v xml:space="preserve">   DE</v>
      </c>
      <c r="B1091" t="str">
        <f>T("   Allemagne")</f>
        <v xml:space="preserve">   Allemagne</v>
      </c>
      <c r="C1091">
        <v>1100000</v>
      </c>
      <c r="D1091">
        <v>1550</v>
      </c>
    </row>
    <row r="1092" spans="1:4" x14ac:dyDescent="0.25">
      <c r="A1092" t="str">
        <f>T("   DK")</f>
        <v xml:space="preserve">   DK</v>
      </c>
      <c r="B1092" t="str">
        <f>T("   Danemark")</f>
        <v xml:space="preserve">   Danemark</v>
      </c>
      <c r="C1092">
        <v>400000</v>
      </c>
      <c r="D1092">
        <v>400</v>
      </c>
    </row>
    <row r="1093" spans="1:4" x14ac:dyDescent="0.25">
      <c r="A1093" t="str">
        <f>T("   ET")</f>
        <v xml:space="preserve">   ET</v>
      </c>
      <c r="B1093" t="str">
        <f>T("   Ethiopie")</f>
        <v xml:space="preserve">   Ethiopie</v>
      </c>
      <c r="C1093">
        <v>300000</v>
      </c>
      <c r="D1093">
        <v>300</v>
      </c>
    </row>
    <row r="1094" spans="1:4" x14ac:dyDescent="0.25">
      <c r="A1094" t="str">
        <f>T("   FR")</f>
        <v xml:space="preserve">   FR</v>
      </c>
      <c r="B1094" t="str">
        <f>T("   France")</f>
        <v xml:space="preserve">   France</v>
      </c>
      <c r="C1094">
        <v>1950000</v>
      </c>
      <c r="D1094">
        <v>2550</v>
      </c>
    </row>
    <row r="1095" spans="1:4" x14ac:dyDescent="0.25">
      <c r="A1095" t="str">
        <f>T("   GA")</f>
        <v xml:space="preserve">   GA</v>
      </c>
      <c r="B1095" t="str">
        <f>T("   Gabon")</f>
        <v xml:space="preserve">   Gabon</v>
      </c>
      <c r="C1095">
        <v>1200000</v>
      </c>
      <c r="D1095">
        <v>1350</v>
      </c>
    </row>
    <row r="1096" spans="1:4" x14ac:dyDescent="0.25">
      <c r="A1096" t="str">
        <f>T("   GP")</f>
        <v xml:space="preserve">   GP</v>
      </c>
      <c r="B1096" t="str">
        <f>T("   Guadeloupe")</f>
        <v xml:space="preserve">   Guadeloupe</v>
      </c>
      <c r="C1096">
        <v>200000</v>
      </c>
      <c r="D1096">
        <v>350</v>
      </c>
    </row>
    <row r="1097" spans="1:4" x14ac:dyDescent="0.25">
      <c r="A1097" t="str">
        <f>T("   KE")</f>
        <v xml:space="preserve">   KE</v>
      </c>
      <c r="B1097" t="str">
        <f>T("   Kenya")</f>
        <v xml:space="preserve">   Kenya</v>
      </c>
      <c r="C1097">
        <v>300000</v>
      </c>
      <c r="D1097">
        <v>200</v>
      </c>
    </row>
    <row r="1098" spans="1:4" x14ac:dyDescent="0.25">
      <c r="A1098" t="str">
        <f>T("   MZ")</f>
        <v xml:space="preserve">   MZ</v>
      </c>
      <c r="B1098" t="str">
        <f>T("   Mozambique")</f>
        <v xml:space="preserve">   Mozambique</v>
      </c>
      <c r="C1098">
        <v>450000</v>
      </c>
      <c r="D1098">
        <v>800</v>
      </c>
    </row>
    <row r="1099" spans="1:4" x14ac:dyDescent="0.25">
      <c r="A1099" t="str">
        <f>T("   NE")</f>
        <v xml:space="preserve">   NE</v>
      </c>
      <c r="B1099" t="str">
        <f>T("   Niger")</f>
        <v xml:space="preserve">   Niger</v>
      </c>
      <c r="C1099">
        <v>200000</v>
      </c>
      <c r="D1099">
        <v>200</v>
      </c>
    </row>
    <row r="1100" spans="1:4" x14ac:dyDescent="0.25">
      <c r="A1100" t="str">
        <f>T("   NL")</f>
        <v xml:space="preserve">   NL</v>
      </c>
      <c r="B1100" t="str">
        <f>T("   Pays-bas")</f>
        <v xml:space="preserve">   Pays-bas</v>
      </c>
      <c r="C1100">
        <v>350000</v>
      </c>
      <c r="D1100">
        <v>600</v>
      </c>
    </row>
    <row r="1101" spans="1:4" x14ac:dyDescent="0.25">
      <c r="A1101" t="str">
        <f>T("   SN")</f>
        <v xml:space="preserve">   SN</v>
      </c>
      <c r="B1101" t="str">
        <f>T("   Sénégal")</f>
        <v xml:space="preserve">   Sénégal</v>
      </c>
      <c r="C1101">
        <v>1656600</v>
      </c>
      <c r="D1101">
        <v>2285</v>
      </c>
    </row>
    <row r="1102" spans="1:4" x14ac:dyDescent="0.25">
      <c r="A1102" t="str">
        <f>T("   US")</f>
        <v xml:space="preserve">   US</v>
      </c>
      <c r="B1102" t="str">
        <f>T("   Etats-Unis")</f>
        <v xml:space="preserve">   Etats-Unis</v>
      </c>
      <c r="C1102">
        <v>1410000</v>
      </c>
      <c r="D1102">
        <v>3717</v>
      </c>
    </row>
    <row r="1103" spans="1:4" x14ac:dyDescent="0.25">
      <c r="A1103" t="str">
        <f>T("732399")</f>
        <v>732399</v>
      </c>
      <c r="B1103" t="str">
        <f>T("Articles de ménage ou d'économie domestique et leurs parties, en fer ou aciers autres qu'inoxydables (sauf fonte et articles émaillés; bidons, boîtes et récipients simil. du n° 7310; poubelles; pelles, tire-bouchons et autres articles à caractère d'outils")</f>
        <v>Articles de ménage ou d'économie domestique et leurs parties, en fer ou aciers autres qu'inoxydables (sauf fonte et articles émaillés; bidons, boîtes et récipients simil. du n° 7310; poubelles; pelles, tire-bouchons et autres articles à caractère d'outils</v>
      </c>
    </row>
    <row r="1104" spans="1:4" x14ac:dyDescent="0.25">
      <c r="A1104" t="str">
        <f>T("   ZZZ_Monde")</f>
        <v xml:space="preserve">   ZZZ_Monde</v>
      </c>
      <c r="B1104" t="str">
        <f>T("   ZZZ_Monde")</f>
        <v xml:space="preserve">   ZZZ_Monde</v>
      </c>
      <c r="C1104">
        <v>54370600</v>
      </c>
      <c r="D1104">
        <v>50290</v>
      </c>
    </row>
    <row r="1105" spans="1:4" x14ac:dyDescent="0.25">
      <c r="A1105" t="str">
        <f>T("   CA")</f>
        <v xml:space="preserve">   CA</v>
      </c>
      <c r="B1105" t="str">
        <f>T("   Canada")</f>
        <v xml:space="preserve">   Canada</v>
      </c>
      <c r="C1105">
        <v>3800000</v>
      </c>
      <c r="D1105">
        <v>3500</v>
      </c>
    </row>
    <row r="1106" spans="1:4" x14ac:dyDescent="0.25">
      <c r="A1106" t="str">
        <f>T("   CG")</f>
        <v xml:space="preserve">   CG</v>
      </c>
      <c r="B1106" t="str">
        <f>T("   Congo (Brazzaville)")</f>
        <v xml:space="preserve">   Congo (Brazzaville)</v>
      </c>
      <c r="C1106">
        <v>1533600</v>
      </c>
      <c r="D1106">
        <v>1700</v>
      </c>
    </row>
    <row r="1107" spans="1:4" x14ac:dyDescent="0.25">
      <c r="A1107" t="str">
        <f>T("   CI")</f>
        <v xml:space="preserve">   CI</v>
      </c>
      <c r="B1107" t="str">
        <f>T("   Côte d'Ivoire")</f>
        <v xml:space="preserve">   Côte d'Ivoire</v>
      </c>
      <c r="C1107">
        <v>8500000</v>
      </c>
      <c r="D1107">
        <v>4000</v>
      </c>
    </row>
    <row r="1108" spans="1:4" x14ac:dyDescent="0.25">
      <c r="A1108" t="str">
        <f>T("   CM")</f>
        <v xml:space="preserve">   CM</v>
      </c>
      <c r="B1108" t="str">
        <f>T("   Cameroun")</f>
        <v xml:space="preserve">   Cameroun</v>
      </c>
      <c r="C1108">
        <v>4544000</v>
      </c>
      <c r="D1108">
        <v>5500</v>
      </c>
    </row>
    <row r="1109" spans="1:4" x14ac:dyDescent="0.25">
      <c r="A1109" t="str">
        <f>T("   FR")</f>
        <v xml:space="preserve">   FR</v>
      </c>
      <c r="B1109" t="str">
        <f>T("   France")</f>
        <v xml:space="preserve">   France</v>
      </c>
      <c r="C1109">
        <v>26390000</v>
      </c>
      <c r="D1109">
        <v>25690</v>
      </c>
    </row>
    <row r="1110" spans="1:4" x14ac:dyDescent="0.25">
      <c r="A1110" t="str">
        <f>T("   GH")</f>
        <v xml:space="preserve">   GH</v>
      </c>
      <c r="B1110" t="str">
        <f>T("   Ghana")</f>
        <v xml:space="preserve">   Ghana</v>
      </c>
      <c r="C1110">
        <v>503000</v>
      </c>
      <c r="D1110">
        <v>500</v>
      </c>
    </row>
    <row r="1111" spans="1:4" x14ac:dyDescent="0.25">
      <c r="A1111" t="str">
        <f>T("   GP")</f>
        <v xml:space="preserve">   GP</v>
      </c>
      <c r="B1111" t="str">
        <f>T("   Guadeloupe")</f>
        <v xml:space="preserve">   Guadeloupe</v>
      </c>
      <c r="C1111">
        <v>2100000</v>
      </c>
      <c r="D1111">
        <v>2800</v>
      </c>
    </row>
    <row r="1112" spans="1:4" x14ac:dyDescent="0.25">
      <c r="A1112" t="str">
        <f>T("   NE")</f>
        <v xml:space="preserve">   NE</v>
      </c>
      <c r="B1112" t="str">
        <f>T("   Niger")</f>
        <v xml:space="preserve">   Niger</v>
      </c>
      <c r="C1112">
        <v>3500000</v>
      </c>
      <c r="D1112">
        <v>3100</v>
      </c>
    </row>
    <row r="1113" spans="1:4" x14ac:dyDescent="0.25">
      <c r="A1113" t="str">
        <f>T("   TH")</f>
        <v xml:space="preserve">   TH</v>
      </c>
      <c r="B1113" t="str">
        <f>T("   Thaïlande")</f>
        <v xml:space="preserve">   Thaïlande</v>
      </c>
      <c r="C1113">
        <v>3500000</v>
      </c>
      <c r="D1113">
        <v>3500</v>
      </c>
    </row>
    <row r="1114" spans="1:4" x14ac:dyDescent="0.25">
      <c r="A1114" t="str">
        <f>T("732490")</f>
        <v>732490</v>
      </c>
      <c r="B1114" t="str">
        <f>T("Articles d'hygiène ou de toilette et leurs parties, en fonte, fer ou acier (à l'excl. des bidons, boîtes et récipients simil. du n° 7310, des petites armoires suspendues à pharmacie ou de toilette et autres meubles du chapitre 94, des éviers et lavabos co")</f>
        <v>Articles d'hygiène ou de toilette et leurs parties, en fonte, fer ou acier (à l'excl. des bidons, boîtes et récipients simil. du n° 7310, des petites armoires suspendues à pharmacie ou de toilette et autres meubles du chapitre 94, des éviers et lavabos co</v>
      </c>
    </row>
    <row r="1115" spans="1:4" x14ac:dyDescent="0.25">
      <c r="A1115" t="str">
        <f>T("   ZZZ_Monde")</f>
        <v xml:space="preserve">   ZZZ_Monde</v>
      </c>
      <c r="B1115" t="str">
        <f>T("   ZZZ_Monde")</f>
        <v xml:space="preserve">   ZZZ_Monde</v>
      </c>
      <c r="C1115">
        <v>1891000</v>
      </c>
      <c r="D1115">
        <v>2000</v>
      </c>
    </row>
    <row r="1116" spans="1:4" x14ac:dyDescent="0.25">
      <c r="A1116" t="str">
        <f>T("   GP")</f>
        <v xml:space="preserve">   GP</v>
      </c>
      <c r="B1116" t="str">
        <f>T("   Guadeloupe")</f>
        <v xml:space="preserve">   Guadeloupe</v>
      </c>
      <c r="C1116">
        <v>1891000</v>
      </c>
      <c r="D1116">
        <v>2000</v>
      </c>
    </row>
    <row r="1117" spans="1:4" x14ac:dyDescent="0.25">
      <c r="A1117" t="str">
        <f>T("732620")</f>
        <v>732620</v>
      </c>
      <c r="B1117" t="str">
        <f>T("Ouvrages en fil de fer ou d'acier, n.d.a.")</f>
        <v>Ouvrages en fil de fer ou d'acier, n.d.a.</v>
      </c>
    </row>
    <row r="1118" spans="1:4" x14ac:dyDescent="0.25">
      <c r="A1118" t="str">
        <f>T("   ZZZ_Monde")</f>
        <v xml:space="preserve">   ZZZ_Monde</v>
      </c>
      <c r="B1118" t="str">
        <f>T("   ZZZ_Monde")</f>
        <v xml:space="preserve">   ZZZ_Monde</v>
      </c>
      <c r="C1118">
        <v>38730484</v>
      </c>
      <c r="D1118">
        <v>48878</v>
      </c>
    </row>
    <row r="1119" spans="1:4" x14ac:dyDescent="0.25">
      <c r="A1119" t="str">
        <f>T("   FR")</f>
        <v xml:space="preserve">   FR</v>
      </c>
      <c r="B1119" t="str">
        <f>T("   France")</f>
        <v xml:space="preserve">   France</v>
      </c>
      <c r="C1119">
        <v>38444504</v>
      </c>
      <c r="D1119">
        <v>48778</v>
      </c>
    </row>
    <row r="1120" spans="1:4" x14ac:dyDescent="0.25">
      <c r="A1120" t="str">
        <f>T("   TG")</f>
        <v xml:space="preserve">   TG</v>
      </c>
      <c r="B1120" t="str">
        <f>T("   Togo")</f>
        <v xml:space="preserve">   Togo</v>
      </c>
      <c r="C1120">
        <v>285980</v>
      </c>
      <c r="D1120">
        <v>100</v>
      </c>
    </row>
    <row r="1121" spans="1:4" x14ac:dyDescent="0.25">
      <c r="A1121" t="str">
        <f>T("732690")</f>
        <v>732690</v>
      </c>
      <c r="B1121" t="str">
        <f>T("Ouvrages en fer ou en acier, n.d.a. (autres que moulés, ainsi que forgés ou estampés mais non autrement travaillés ou en fils de fer ou d'acier)")</f>
        <v>Ouvrages en fer ou en acier, n.d.a. (autres que moulés, ainsi que forgés ou estampés mais non autrement travaillés ou en fils de fer ou d'acier)</v>
      </c>
    </row>
    <row r="1122" spans="1:4" x14ac:dyDescent="0.25">
      <c r="A1122" t="str">
        <f>T("   ZZZ_Monde")</f>
        <v xml:space="preserve">   ZZZ_Monde</v>
      </c>
      <c r="B1122" t="str">
        <f>T("   ZZZ_Monde")</f>
        <v xml:space="preserve">   ZZZ_Monde</v>
      </c>
      <c r="C1122">
        <v>44409642</v>
      </c>
      <c r="D1122">
        <v>52290</v>
      </c>
    </row>
    <row r="1123" spans="1:4" x14ac:dyDescent="0.25">
      <c r="A1123" t="str">
        <f>T("   CH")</f>
        <v xml:space="preserve">   CH</v>
      </c>
      <c r="B1123" t="str">
        <f>T("   Suisse")</f>
        <v xml:space="preserve">   Suisse</v>
      </c>
      <c r="C1123">
        <v>15115758</v>
      </c>
      <c r="D1123">
        <v>18509</v>
      </c>
    </row>
    <row r="1124" spans="1:4" x14ac:dyDescent="0.25">
      <c r="A1124" t="str">
        <f>T("   CI")</f>
        <v xml:space="preserve">   CI</v>
      </c>
      <c r="B1124" t="str">
        <f>T("   Côte d'Ivoire")</f>
        <v xml:space="preserve">   Côte d'Ivoire</v>
      </c>
      <c r="C1124">
        <v>6899305</v>
      </c>
      <c r="D1124">
        <v>7203</v>
      </c>
    </row>
    <row r="1125" spans="1:4" x14ac:dyDescent="0.25">
      <c r="A1125" t="str">
        <f>T("   GB")</f>
        <v xml:space="preserve">   GB</v>
      </c>
      <c r="B1125" t="str">
        <f>T("   Royaume-Uni")</f>
        <v xml:space="preserve">   Royaume-Uni</v>
      </c>
      <c r="C1125">
        <v>5562210</v>
      </c>
      <c r="D1125">
        <v>6098</v>
      </c>
    </row>
    <row r="1126" spans="1:4" x14ac:dyDescent="0.25">
      <c r="A1126" t="str">
        <f>T("   NL")</f>
        <v xml:space="preserve">   NL</v>
      </c>
      <c r="B1126" t="str">
        <f>T("   Pays-bas")</f>
        <v xml:space="preserve">   Pays-bas</v>
      </c>
      <c r="C1126">
        <v>6463840</v>
      </c>
      <c r="D1126">
        <v>7866</v>
      </c>
    </row>
    <row r="1127" spans="1:4" x14ac:dyDescent="0.25">
      <c r="A1127" t="str">
        <f>T("   SG")</f>
        <v xml:space="preserve">   SG</v>
      </c>
      <c r="B1127" t="str">
        <f>T("   Singapour")</f>
        <v xml:space="preserve">   Singapour</v>
      </c>
      <c r="C1127">
        <v>10368529</v>
      </c>
      <c r="D1127">
        <v>12614</v>
      </c>
    </row>
    <row r="1128" spans="1:4" x14ac:dyDescent="0.25">
      <c r="A1128" t="str">
        <f>T("740400")</f>
        <v>740400</v>
      </c>
      <c r="B1128" t="str">
        <f>T("Déchets et débris de cuivre (à l'excl. des déchets lingotés ou formes brutes simil., en déchets et débris de cuivre fondus, et sauf cendres et résidus contenant du cuivre et déchets et débris de piles, batteries et accumulateurs électriques)")</f>
        <v>Déchets et débris de cuivre (à l'excl. des déchets lingotés ou formes brutes simil., en déchets et débris de cuivre fondus, et sauf cendres et résidus contenant du cuivre et déchets et débris de piles, batteries et accumulateurs électriques)</v>
      </c>
    </row>
    <row r="1129" spans="1:4" x14ac:dyDescent="0.25">
      <c r="A1129" t="str">
        <f>T("   ZZZ_Monde")</f>
        <v xml:space="preserve">   ZZZ_Monde</v>
      </c>
      <c r="B1129" t="str">
        <f>T("   ZZZ_Monde")</f>
        <v xml:space="preserve">   ZZZ_Monde</v>
      </c>
      <c r="C1129">
        <v>1250000</v>
      </c>
      <c r="D1129">
        <v>25000</v>
      </c>
    </row>
    <row r="1130" spans="1:4" x14ac:dyDescent="0.25">
      <c r="A1130" t="str">
        <f>T("   NL")</f>
        <v xml:space="preserve">   NL</v>
      </c>
      <c r="B1130" t="str">
        <f>T("   Pays-bas")</f>
        <v xml:space="preserve">   Pays-bas</v>
      </c>
      <c r="C1130">
        <v>1250000</v>
      </c>
      <c r="D1130">
        <v>25000</v>
      </c>
    </row>
    <row r="1131" spans="1:4" x14ac:dyDescent="0.25">
      <c r="A1131" t="str">
        <f>T("741819")</f>
        <v>741819</v>
      </c>
      <c r="B1131" t="str">
        <f>T("ARTICLES DE MÉNAGE OU D'ÉCONOMIE DOMESTIQUE ET LEURS PARTIES, EN CUIVRE (SAUF ÉPONGES, TORCHONS, GANTS ET ARTICLES SIMIL.; BIDONS, BOÎTES ET RÉCIPIENTS SIMIL. DU N° 7419; ARTICLES À CARACTÈRE D'OUTILS; COUTELLERIE, CUILLERS, FOURCHETTES, ETC.; OBJETS DÉCO")</f>
        <v>ARTICLES DE MÉNAGE OU D'ÉCONOMIE DOMESTIQUE ET LEURS PARTIES, EN CUIVRE (SAUF ÉPONGES, TORCHONS, GANTS ET ARTICLES SIMIL.; BIDONS, BOÎTES ET RÉCIPIENTS SIMIL. DU N° 7419; ARTICLES À CARACTÈRE D'OUTILS; COUTELLERIE, CUILLERS, FOURCHETTES, ETC.; OBJETS DÉCO</v>
      </c>
    </row>
    <row r="1132" spans="1:4" x14ac:dyDescent="0.25">
      <c r="A1132" t="str">
        <f>T("   ZZZ_Monde")</f>
        <v xml:space="preserve">   ZZZ_Monde</v>
      </c>
      <c r="B1132" t="str">
        <f>T("   ZZZ_Monde")</f>
        <v xml:space="preserve">   ZZZ_Monde</v>
      </c>
      <c r="C1132">
        <v>2492648</v>
      </c>
      <c r="D1132">
        <v>350</v>
      </c>
    </row>
    <row r="1133" spans="1:4" x14ac:dyDescent="0.25">
      <c r="A1133" t="str">
        <f>T("   FR")</f>
        <v xml:space="preserve">   FR</v>
      </c>
      <c r="B1133" t="str">
        <f>T("   France")</f>
        <v xml:space="preserve">   France</v>
      </c>
      <c r="C1133">
        <v>1311920</v>
      </c>
      <c r="D1133">
        <v>150</v>
      </c>
    </row>
    <row r="1134" spans="1:4" x14ac:dyDescent="0.25">
      <c r="A1134" t="str">
        <f>T("   GH")</f>
        <v xml:space="preserve">   GH</v>
      </c>
      <c r="B1134" t="str">
        <f>T("   Ghana")</f>
        <v xml:space="preserve">   Ghana</v>
      </c>
      <c r="C1134">
        <v>1180728</v>
      </c>
      <c r="D1134">
        <v>200</v>
      </c>
    </row>
    <row r="1135" spans="1:4" x14ac:dyDescent="0.25">
      <c r="A1135" t="str">
        <f>T("760200")</f>
        <v>760200</v>
      </c>
      <c r="B1135" t="str">
        <f>T("Déchets et débris d'aluminium (sauf scories, mâchefer, etc., produits par la sidérurgie et contenant de l'aluminium récupérable sous forme de silicates, les déchets lingotés et autres formes brutes simil. en déchets ou débris d'aluminium fondus, et sauf c")</f>
        <v>Déchets et débris d'aluminium (sauf scories, mâchefer, etc., produits par la sidérurgie et contenant de l'aluminium récupérable sous forme de silicates, les déchets lingotés et autres formes brutes simil. en déchets ou débris d'aluminium fondus, et sauf c</v>
      </c>
    </row>
    <row r="1136" spans="1:4" x14ac:dyDescent="0.25">
      <c r="A1136" t="str">
        <f>T("   ZZZ_Monde")</f>
        <v xml:space="preserve">   ZZZ_Monde</v>
      </c>
      <c r="B1136" t="str">
        <f>T("   ZZZ_Monde")</f>
        <v xml:space="preserve">   ZZZ_Monde</v>
      </c>
      <c r="C1136">
        <v>45745000</v>
      </c>
      <c r="D1136">
        <v>978700</v>
      </c>
    </row>
    <row r="1137" spans="1:4" x14ac:dyDescent="0.25">
      <c r="A1137" t="str">
        <f>T("   AE")</f>
        <v xml:space="preserve">   AE</v>
      </c>
      <c r="B1137" t="str">
        <f>T("   Emirats Arabes Unis")</f>
        <v xml:space="preserve">   Emirats Arabes Unis</v>
      </c>
      <c r="C1137">
        <v>10000000</v>
      </c>
      <c r="D1137">
        <v>200000</v>
      </c>
    </row>
    <row r="1138" spans="1:4" x14ac:dyDescent="0.25">
      <c r="A1138" t="str">
        <f>T("   CN")</f>
        <v xml:space="preserve">   CN</v>
      </c>
      <c r="B1138" t="str">
        <f>T("   Chine")</f>
        <v xml:space="preserve">   Chine</v>
      </c>
      <c r="C1138">
        <v>2125000</v>
      </c>
      <c r="D1138">
        <v>44300</v>
      </c>
    </row>
    <row r="1139" spans="1:4" x14ac:dyDescent="0.25">
      <c r="A1139" t="str">
        <f>T("   ID")</f>
        <v xml:space="preserve">   ID</v>
      </c>
      <c r="B1139" t="str">
        <f>T("   Indonésie")</f>
        <v xml:space="preserve">   Indonésie</v>
      </c>
      <c r="C1139">
        <v>400000</v>
      </c>
      <c r="D1139">
        <v>10000</v>
      </c>
    </row>
    <row r="1140" spans="1:4" x14ac:dyDescent="0.25">
      <c r="A1140" t="str">
        <f>T("   IN")</f>
        <v xml:space="preserve">   IN</v>
      </c>
      <c r="B1140" t="str">
        <f>T("   Inde")</f>
        <v xml:space="preserve">   Inde</v>
      </c>
      <c r="C1140">
        <v>28968000</v>
      </c>
      <c r="D1140">
        <v>639360</v>
      </c>
    </row>
    <row r="1141" spans="1:4" x14ac:dyDescent="0.25">
      <c r="A1141" t="str">
        <f>T("   IT")</f>
        <v xml:space="preserve">   IT</v>
      </c>
      <c r="B1141" t="str">
        <f>T("   Italie")</f>
        <v xml:space="preserve">   Italie</v>
      </c>
      <c r="C1141">
        <v>502000</v>
      </c>
      <c r="D1141">
        <v>10040</v>
      </c>
    </row>
    <row r="1142" spans="1:4" x14ac:dyDescent="0.25">
      <c r="A1142" t="str">
        <f>T("   KR")</f>
        <v xml:space="preserve">   KR</v>
      </c>
      <c r="B1142" t="str">
        <f>T("   Corée, République de")</f>
        <v xml:space="preserve">   Corée, République de</v>
      </c>
      <c r="C1142">
        <v>3750000</v>
      </c>
      <c r="D1142">
        <v>75000</v>
      </c>
    </row>
    <row r="1143" spans="1:4" x14ac:dyDescent="0.25">
      <c r="A1143" t="str">
        <f>T("760421")</f>
        <v>760421</v>
      </c>
      <c r="B1143" t="str">
        <f>T("Profilés creux en alliages d'aluminium, n.d.a.")</f>
        <v>Profilés creux en alliages d'aluminium, n.d.a.</v>
      </c>
    </row>
    <row r="1144" spans="1:4" x14ac:dyDescent="0.25">
      <c r="A1144" t="str">
        <f>T("   ZZZ_Monde")</f>
        <v xml:space="preserve">   ZZZ_Monde</v>
      </c>
      <c r="B1144" t="str">
        <f>T("   ZZZ_Monde")</f>
        <v xml:space="preserve">   ZZZ_Monde</v>
      </c>
      <c r="C1144">
        <v>25283859</v>
      </c>
      <c r="D1144">
        <v>71744</v>
      </c>
    </row>
    <row r="1145" spans="1:4" x14ac:dyDescent="0.25">
      <c r="A1145" t="str">
        <f>T("   FR")</f>
        <v xml:space="preserve">   FR</v>
      </c>
      <c r="B1145" t="str">
        <f>T("   France")</f>
        <v xml:space="preserve">   France</v>
      </c>
      <c r="C1145">
        <v>21885449</v>
      </c>
      <c r="D1145">
        <v>58570</v>
      </c>
    </row>
    <row r="1146" spans="1:4" x14ac:dyDescent="0.25">
      <c r="A1146" t="str">
        <f>T("   GH")</f>
        <v xml:space="preserve">   GH</v>
      </c>
      <c r="B1146" t="str">
        <f>T("   Ghana")</f>
        <v xml:space="preserve">   Ghana</v>
      </c>
      <c r="C1146">
        <v>3398410</v>
      </c>
      <c r="D1146">
        <v>13174</v>
      </c>
    </row>
    <row r="1147" spans="1:4" x14ac:dyDescent="0.25">
      <c r="A1147" t="str">
        <f>T("760429")</f>
        <v>760429</v>
      </c>
      <c r="B1147" t="str">
        <f>T("Barres et profilés pleins en alliages d'aluminium, n.d.a.")</f>
        <v>Barres et profilés pleins en alliages d'aluminium, n.d.a.</v>
      </c>
    </row>
    <row r="1148" spans="1:4" x14ac:dyDescent="0.25">
      <c r="A1148" t="str">
        <f>T("   ZZZ_Monde")</f>
        <v xml:space="preserve">   ZZZ_Monde</v>
      </c>
      <c r="B1148" t="str">
        <f>T("   ZZZ_Monde")</f>
        <v xml:space="preserve">   ZZZ_Monde</v>
      </c>
      <c r="C1148">
        <v>5000000</v>
      </c>
      <c r="D1148">
        <v>100000</v>
      </c>
    </row>
    <row r="1149" spans="1:4" x14ac:dyDescent="0.25">
      <c r="A1149" t="str">
        <f>T("   CN")</f>
        <v xml:space="preserve">   CN</v>
      </c>
      <c r="B1149" t="str">
        <f>T("   Chine")</f>
        <v xml:space="preserve">   Chine</v>
      </c>
      <c r="C1149">
        <v>4000000</v>
      </c>
      <c r="D1149">
        <v>80000</v>
      </c>
    </row>
    <row r="1150" spans="1:4" x14ac:dyDescent="0.25">
      <c r="A1150" t="str">
        <f>T("   IN")</f>
        <v xml:space="preserve">   IN</v>
      </c>
      <c r="B1150" t="str">
        <f>T("   Inde")</f>
        <v xml:space="preserve">   Inde</v>
      </c>
      <c r="C1150">
        <v>1000000</v>
      </c>
      <c r="D1150">
        <v>20000</v>
      </c>
    </row>
    <row r="1151" spans="1:4" x14ac:dyDescent="0.25">
      <c r="A1151" t="str">
        <f>T("760519")</f>
        <v>760519</v>
      </c>
      <c r="B1151" t="str">
        <f>T("FILS EN ALUMINIUM NON ALLIÉ, DONT LA PLUS GRANDE DIMENSION DE LA SECTION TRANSVERSALE EST &lt;= 7 MM (À L'EXCL. DES CORDES HARMONIQUES, DES FILS ISOLÉS POUR L'ÉLECTRICITÉ AINSI QUE DES TORONS, CÂBLES, TRESSES ET ARTICLES SIMIL. DU N° 7614) [01/01/1988-31/12/")</f>
        <v>FILS EN ALUMINIUM NON ALLIÉ, DONT LA PLUS GRANDE DIMENSION DE LA SECTION TRANSVERSALE EST &lt;= 7 MM (À L'EXCL. DES CORDES HARMONIQUES, DES FILS ISOLÉS POUR L'ÉLECTRICITÉ AINSI QUE DES TORONS, CÂBLES, TRESSES ET ARTICLES SIMIL. DU N° 7614) [01/01/1988-31/12/</v>
      </c>
    </row>
    <row r="1152" spans="1:4" x14ac:dyDescent="0.25">
      <c r="A1152" t="str">
        <f>T("   ZZZ_Monde")</f>
        <v xml:space="preserve">   ZZZ_Monde</v>
      </c>
      <c r="B1152" t="str">
        <f>T("   ZZZ_Monde")</f>
        <v xml:space="preserve">   ZZZ_Monde</v>
      </c>
      <c r="C1152">
        <v>500000</v>
      </c>
      <c r="D1152">
        <v>10000</v>
      </c>
    </row>
    <row r="1153" spans="1:4" x14ac:dyDescent="0.25">
      <c r="A1153" t="str">
        <f>T("   CN")</f>
        <v xml:space="preserve">   CN</v>
      </c>
      <c r="B1153" t="str">
        <f>T("   Chine")</f>
        <v xml:space="preserve">   Chine</v>
      </c>
      <c r="C1153">
        <v>500000</v>
      </c>
      <c r="D1153">
        <v>10000</v>
      </c>
    </row>
    <row r="1154" spans="1:4" x14ac:dyDescent="0.25">
      <c r="A1154" t="str">
        <f>T("761090")</f>
        <v>761090</v>
      </c>
      <c r="B1154" t="str">
        <f>T("Constructions et parties de constructions, en aluminium, n.d.a., ainsi que tôles, barres, profilés, tubes, tuyaux et simil., en aluminium, n.d.a; (sauf constructions préfabriquées du n° 9406, portes, fenêtres et leurs cadres, chambranles et seuils)")</f>
        <v>Constructions et parties de constructions, en aluminium, n.d.a., ainsi que tôles, barres, profilés, tubes, tuyaux et simil., en aluminium, n.d.a; (sauf constructions préfabriquées du n° 9406, portes, fenêtres et leurs cadres, chambranles et seuils)</v>
      </c>
    </row>
    <row r="1155" spans="1:4" x14ac:dyDescent="0.25">
      <c r="A1155" t="str">
        <f>T("   ZZZ_Monde")</f>
        <v xml:space="preserve">   ZZZ_Monde</v>
      </c>
      <c r="B1155" t="str">
        <f>T("   ZZZ_Monde")</f>
        <v xml:space="preserve">   ZZZ_Monde</v>
      </c>
      <c r="C1155">
        <v>10288733</v>
      </c>
      <c r="D1155">
        <v>10600</v>
      </c>
    </row>
    <row r="1156" spans="1:4" x14ac:dyDescent="0.25">
      <c r="A1156" t="str">
        <f>T("   CI")</f>
        <v xml:space="preserve">   CI</v>
      </c>
      <c r="B1156" t="str">
        <f>T("   Côte d'Ivoire")</f>
        <v xml:space="preserve">   Côte d'Ivoire</v>
      </c>
      <c r="C1156">
        <v>10288733</v>
      </c>
      <c r="D1156">
        <v>10600</v>
      </c>
    </row>
    <row r="1157" spans="1:4" x14ac:dyDescent="0.25">
      <c r="A1157" t="str">
        <f>T("761519")</f>
        <v>761519</v>
      </c>
      <c r="B1157" t="str">
        <f>T("Articles de ménage, d'économie domestique, et leurs parties, en aluminium (sauf éponges, torchons, gants et articles simil.; bidons, boîtes et récipients simil. du n° 7612; articles ayant le caractère d'outils, cuillers, louches, fourchettes et articles a")</f>
        <v>Articles de ménage, d'économie domestique, et leurs parties, en aluminium (sauf éponges, torchons, gants et articles simil.; bidons, boîtes et récipients simil. du n° 7612; articles ayant le caractère d'outils, cuillers, louches, fourchettes et articles a</v>
      </c>
    </row>
    <row r="1158" spans="1:4" x14ac:dyDescent="0.25">
      <c r="A1158" t="str">
        <f>T("   ZZZ_Monde")</f>
        <v xml:space="preserve">   ZZZ_Monde</v>
      </c>
      <c r="B1158" t="str">
        <f>T("   ZZZ_Monde")</f>
        <v xml:space="preserve">   ZZZ_Monde</v>
      </c>
      <c r="C1158">
        <v>4245270</v>
      </c>
      <c r="D1158">
        <v>6230</v>
      </c>
    </row>
    <row r="1159" spans="1:4" x14ac:dyDescent="0.25">
      <c r="A1159" t="str">
        <f>T("   BF")</f>
        <v xml:space="preserve">   BF</v>
      </c>
      <c r="B1159" t="str">
        <f>T("   Burkina Faso")</f>
        <v xml:space="preserve">   Burkina Faso</v>
      </c>
      <c r="C1159">
        <v>291313</v>
      </c>
      <c r="D1159">
        <v>100</v>
      </c>
    </row>
    <row r="1160" spans="1:4" x14ac:dyDescent="0.25">
      <c r="A1160" t="str">
        <f>T("   GN")</f>
        <v xml:space="preserve">   GN</v>
      </c>
      <c r="B1160" t="str">
        <f>T("   Guinée")</f>
        <v xml:space="preserve">   Guinée</v>
      </c>
      <c r="C1160">
        <v>1332140</v>
      </c>
      <c r="D1160">
        <v>5230</v>
      </c>
    </row>
    <row r="1161" spans="1:4" x14ac:dyDescent="0.25">
      <c r="A1161" t="str">
        <f>T("   ML")</f>
        <v xml:space="preserve">   ML</v>
      </c>
      <c r="B1161" t="str">
        <f>T("   Mali")</f>
        <v xml:space="preserve">   Mali</v>
      </c>
      <c r="C1161">
        <v>2330504</v>
      </c>
      <c r="D1161">
        <v>800</v>
      </c>
    </row>
    <row r="1162" spans="1:4" x14ac:dyDescent="0.25">
      <c r="A1162" t="str">
        <f>T("   NE")</f>
        <v xml:space="preserve">   NE</v>
      </c>
      <c r="B1162" t="str">
        <f>T("   Niger")</f>
        <v xml:space="preserve">   Niger</v>
      </c>
      <c r="C1162">
        <v>291313</v>
      </c>
      <c r="D1162">
        <v>100</v>
      </c>
    </row>
    <row r="1163" spans="1:4" x14ac:dyDescent="0.25">
      <c r="A1163" t="str">
        <f>T("761699")</f>
        <v>761699</v>
      </c>
      <c r="B1163" t="str">
        <f>T("Ouvrages en aluminium, n.d.a.")</f>
        <v>Ouvrages en aluminium, n.d.a.</v>
      </c>
    </row>
    <row r="1164" spans="1:4" x14ac:dyDescent="0.25">
      <c r="A1164" t="str">
        <f>T("   ZZZ_Monde")</f>
        <v xml:space="preserve">   ZZZ_Monde</v>
      </c>
      <c r="B1164" t="str">
        <f>T("   ZZZ_Monde")</f>
        <v xml:space="preserve">   ZZZ_Monde</v>
      </c>
      <c r="C1164">
        <v>6116485</v>
      </c>
      <c r="D1164">
        <v>42729</v>
      </c>
    </row>
    <row r="1165" spans="1:4" x14ac:dyDescent="0.25">
      <c r="A1165" t="str">
        <f>T("   CI")</f>
        <v xml:space="preserve">   CI</v>
      </c>
      <c r="B1165" t="str">
        <f>T("   Côte d'Ivoire")</f>
        <v xml:space="preserve">   Côte d'Ivoire</v>
      </c>
      <c r="C1165">
        <v>2159357</v>
      </c>
      <c r="D1165">
        <v>50</v>
      </c>
    </row>
    <row r="1166" spans="1:4" x14ac:dyDescent="0.25">
      <c r="A1166" t="str">
        <f>T("   FR")</f>
        <v xml:space="preserve">   FR</v>
      </c>
      <c r="B1166" t="str">
        <f>T("   France")</f>
        <v xml:space="preserve">   France</v>
      </c>
      <c r="C1166">
        <v>1830128</v>
      </c>
      <c r="D1166">
        <v>139</v>
      </c>
    </row>
    <row r="1167" spans="1:4" x14ac:dyDescent="0.25">
      <c r="A1167" t="str">
        <f>T("   IN")</f>
        <v xml:space="preserve">   IN</v>
      </c>
      <c r="B1167" t="str">
        <f>T("   Inde")</f>
        <v xml:space="preserve">   Inde</v>
      </c>
      <c r="C1167">
        <v>2127000</v>
      </c>
      <c r="D1167">
        <v>42540</v>
      </c>
    </row>
    <row r="1168" spans="1:4" x14ac:dyDescent="0.25">
      <c r="A1168" t="str">
        <f>T("790700")</f>
        <v>790700</v>
      </c>
      <c r="B1168" t="str">
        <f>T("Ouvrages en zinc, n.d.a.")</f>
        <v>Ouvrages en zinc, n.d.a.</v>
      </c>
    </row>
    <row r="1169" spans="1:4" x14ac:dyDescent="0.25">
      <c r="A1169" t="str">
        <f>T("   ZZZ_Monde")</f>
        <v xml:space="preserve">   ZZZ_Monde</v>
      </c>
      <c r="B1169" t="str">
        <f>T("   ZZZ_Monde")</f>
        <v xml:space="preserve">   ZZZ_Monde</v>
      </c>
      <c r="C1169">
        <v>6000000</v>
      </c>
      <c r="D1169">
        <v>180000</v>
      </c>
    </row>
    <row r="1170" spans="1:4" x14ac:dyDescent="0.25">
      <c r="A1170" t="str">
        <f>T("   CN")</f>
        <v xml:space="preserve">   CN</v>
      </c>
      <c r="B1170" t="str">
        <f>T("   Chine")</f>
        <v xml:space="preserve">   Chine</v>
      </c>
      <c r="C1170">
        <v>750000</v>
      </c>
      <c r="D1170">
        <v>15000</v>
      </c>
    </row>
    <row r="1171" spans="1:4" x14ac:dyDescent="0.25">
      <c r="A1171" t="str">
        <f>T("   IN")</f>
        <v xml:space="preserve">   IN</v>
      </c>
      <c r="B1171" t="str">
        <f>T("   Inde")</f>
        <v xml:space="preserve">   Inde</v>
      </c>
      <c r="C1171">
        <v>5250000</v>
      </c>
      <c r="D1171">
        <v>165000</v>
      </c>
    </row>
    <row r="1172" spans="1:4" x14ac:dyDescent="0.25">
      <c r="A1172" t="str">
        <f>T("820210")</f>
        <v>820210</v>
      </c>
      <c r="B1172" t="str">
        <f>T("Scies à main, avec partie travaillante en métaux communs (à l'excl. des tronçonneuses)")</f>
        <v>Scies à main, avec partie travaillante en métaux communs (à l'excl. des tronçonneuses)</v>
      </c>
    </row>
    <row r="1173" spans="1:4" x14ac:dyDescent="0.25">
      <c r="A1173" t="str">
        <f>T("   ZZZ_Monde")</f>
        <v xml:space="preserve">   ZZZ_Monde</v>
      </c>
      <c r="B1173" t="str">
        <f>T("   ZZZ_Monde")</f>
        <v xml:space="preserve">   ZZZ_Monde</v>
      </c>
      <c r="C1173">
        <v>1061949</v>
      </c>
      <c r="D1173">
        <v>204</v>
      </c>
    </row>
    <row r="1174" spans="1:4" x14ac:dyDescent="0.25">
      <c r="A1174" t="str">
        <f>T("   GB")</f>
        <v xml:space="preserve">   GB</v>
      </c>
      <c r="B1174" t="str">
        <f>T("   Royaume-Uni")</f>
        <v xml:space="preserve">   Royaume-Uni</v>
      </c>
      <c r="C1174">
        <v>1061949</v>
      </c>
      <c r="D1174">
        <v>204</v>
      </c>
    </row>
    <row r="1175" spans="1:4" x14ac:dyDescent="0.25">
      <c r="A1175" t="str">
        <f>T("820310")</f>
        <v>820310</v>
      </c>
      <c r="B1175" t="str">
        <f>T("Limes, râpes et outils simil. à main, en métaux communs")</f>
        <v>Limes, râpes et outils simil. à main, en métaux communs</v>
      </c>
    </row>
    <row r="1176" spans="1:4" x14ac:dyDescent="0.25">
      <c r="A1176" t="str">
        <f>T("   ZZZ_Monde")</f>
        <v xml:space="preserve">   ZZZ_Monde</v>
      </c>
      <c r="B1176" t="str">
        <f>T("   ZZZ_Monde")</f>
        <v xml:space="preserve">   ZZZ_Monde</v>
      </c>
      <c r="C1176">
        <v>3117778</v>
      </c>
      <c r="D1176">
        <v>236</v>
      </c>
    </row>
    <row r="1177" spans="1:4" x14ac:dyDescent="0.25">
      <c r="A1177" t="str">
        <f>T("   FR")</f>
        <v xml:space="preserve">   FR</v>
      </c>
      <c r="B1177" t="str">
        <f>T("   France")</f>
        <v xml:space="preserve">   France</v>
      </c>
      <c r="C1177">
        <v>3117778</v>
      </c>
      <c r="D1177">
        <v>236</v>
      </c>
    </row>
    <row r="1178" spans="1:4" x14ac:dyDescent="0.25">
      <c r="A1178" t="str">
        <f>T("820510")</f>
        <v>820510</v>
      </c>
      <c r="B1178" t="str">
        <f>T("Outils de perçage, de filetage ou de taraudage, maniés à la main")</f>
        <v>Outils de perçage, de filetage ou de taraudage, maniés à la main</v>
      </c>
    </row>
    <row r="1179" spans="1:4" x14ac:dyDescent="0.25">
      <c r="A1179" t="str">
        <f>T("   ZZZ_Monde")</f>
        <v xml:space="preserve">   ZZZ_Monde</v>
      </c>
      <c r="B1179" t="str">
        <f>T("   ZZZ_Monde")</f>
        <v xml:space="preserve">   ZZZ_Monde</v>
      </c>
      <c r="C1179">
        <v>550000</v>
      </c>
      <c r="D1179">
        <v>1500</v>
      </c>
    </row>
    <row r="1180" spans="1:4" x14ac:dyDescent="0.25">
      <c r="A1180" t="str">
        <f>T("   GA")</f>
        <v xml:space="preserve">   GA</v>
      </c>
      <c r="B1180" t="str">
        <f>T("   Gabon")</f>
        <v xml:space="preserve">   Gabon</v>
      </c>
      <c r="C1180">
        <v>550000</v>
      </c>
      <c r="D1180">
        <v>1500</v>
      </c>
    </row>
    <row r="1181" spans="1:4" x14ac:dyDescent="0.25">
      <c r="A1181" t="str">
        <f>T("820559")</f>
        <v>820559</v>
      </c>
      <c r="B1181" t="str">
        <f>T("Outils à main, y.c. -les diamants de vitrier-, en métaux communs, n.d.a.")</f>
        <v>Outils à main, y.c. -les diamants de vitrier-, en métaux communs, n.d.a.</v>
      </c>
    </row>
    <row r="1182" spans="1:4" x14ac:dyDescent="0.25">
      <c r="A1182" t="str">
        <f>T("   ZZZ_Monde")</f>
        <v xml:space="preserve">   ZZZ_Monde</v>
      </c>
      <c r="B1182" t="str">
        <f>T("   ZZZ_Monde")</f>
        <v xml:space="preserve">   ZZZ_Monde</v>
      </c>
      <c r="C1182">
        <v>2199516</v>
      </c>
      <c r="D1182">
        <v>303</v>
      </c>
    </row>
    <row r="1183" spans="1:4" x14ac:dyDescent="0.25">
      <c r="A1183" t="str">
        <f>T("   CI")</f>
        <v xml:space="preserve">   CI</v>
      </c>
      <c r="B1183" t="str">
        <f>T("   Côte d'Ivoire")</f>
        <v xml:space="preserve">   Côte d'Ivoire</v>
      </c>
      <c r="C1183">
        <v>2199516</v>
      </c>
      <c r="D1183">
        <v>303</v>
      </c>
    </row>
    <row r="1184" spans="1:4" x14ac:dyDescent="0.25">
      <c r="A1184" t="str">
        <f>T("820790")</f>
        <v>820790</v>
      </c>
      <c r="B1184" t="str">
        <f>T("Outils interchangeables pour outillage à main, mécanique ou non, ou pour machines-outils, n.d.a.")</f>
        <v>Outils interchangeables pour outillage à main, mécanique ou non, ou pour machines-outils, n.d.a.</v>
      </c>
    </row>
    <row r="1185" spans="1:4" x14ac:dyDescent="0.25">
      <c r="A1185" t="str">
        <f>T("   ZZZ_Monde")</f>
        <v xml:space="preserve">   ZZZ_Monde</v>
      </c>
      <c r="B1185" t="str">
        <f>T("   ZZZ_Monde")</f>
        <v xml:space="preserve">   ZZZ_Monde</v>
      </c>
      <c r="C1185">
        <v>13747579</v>
      </c>
      <c r="D1185">
        <v>71651</v>
      </c>
    </row>
    <row r="1186" spans="1:4" x14ac:dyDescent="0.25">
      <c r="A1186" t="str">
        <f>T("   FR")</f>
        <v xml:space="preserve">   FR</v>
      </c>
      <c r="B1186" t="str">
        <f>T("   France")</f>
        <v xml:space="preserve">   France</v>
      </c>
      <c r="C1186">
        <v>9247579</v>
      </c>
      <c r="D1186">
        <v>56151</v>
      </c>
    </row>
    <row r="1187" spans="1:4" x14ac:dyDescent="0.25">
      <c r="A1187" t="str">
        <f>T("   TG")</f>
        <v xml:space="preserve">   TG</v>
      </c>
      <c r="B1187" t="str">
        <f>T("   Togo")</f>
        <v xml:space="preserve">   Togo</v>
      </c>
      <c r="C1187">
        <v>4500000</v>
      </c>
      <c r="D1187">
        <v>15500</v>
      </c>
    </row>
    <row r="1188" spans="1:4" x14ac:dyDescent="0.25">
      <c r="A1188" t="str">
        <f>T("821210")</f>
        <v>821210</v>
      </c>
      <c r="B1188" t="str">
        <f>T("Rasoirs et rasoirs de sûreté non-électriques, en métaux communs")</f>
        <v>Rasoirs et rasoirs de sûreté non-électriques, en métaux communs</v>
      </c>
    </row>
    <row r="1189" spans="1:4" x14ac:dyDescent="0.25">
      <c r="A1189" t="str">
        <f>T("   ZZZ_Monde")</f>
        <v xml:space="preserve">   ZZZ_Monde</v>
      </c>
      <c r="B1189" t="str">
        <f>T("   ZZZ_Monde")</f>
        <v xml:space="preserve">   ZZZ_Monde</v>
      </c>
      <c r="C1189">
        <v>958800</v>
      </c>
      <c r="D1189">
        <v>856</v>
      </c>
    </row>
    <row r="1190" spans="1:4" x14ac:dyDescent="0.25">
      <c r="A1190" t="str">
        <f>T("   AE")</f>
        <v xml:space="preserve">   AE</v>
      </c>
      <c r="B1190" t="str">
        <f>T("   Emirats Arabes Unis")</f>
        <v xml:space="preserve">   Emirats Arabes Unis</v>
      </c>
      <c r="C1190">
        <v>958800</v>
      </c>
      <c r="D1190">
        <v>856</v>
      </c>
    </row>
    <row r="1191" spans="1:4" x14ac:dyDescent="0.25">
      <c r="A1191" t="str">
        <f>T("821599")</f>
        <v>821599</v>
      </c>
      <c r="B1191" t="str">
        <f>T("Cuillers, fourchettes, louches, écumoires, pelles à tartes, couteaux spéciaux à poisson ou à beurre, pinces à sucre et articles simil., en métaux communs, ni argentés, ni dorés, ni platinés (sauf en assortiments et sauf cisailles à volaille et à homards)")</f>
        <v>Cuillers, fourchettes, louches, écumoires, pelles à tartes, couteaux spéciaux à poisson ou à beurre, pinces à sucre et articles simil., en métaux communs, ni argentés, ni dorés, ni platinés (sauf en assortiments et sauf cisailles à volaille et à homards)</v>
      </c>
    </row>
    <row r="1192" spans="1:4" x14ac:dyDescent="0.25">
      <c r="A1192" t="str">
        <f>T("   ZZZ_Monde")</f>
        <v xml:space="preserve">   ZZZ_Monde</v>
      </c>
      <c r="B1192" t="str">
        <f>T("   ZZZ_Monde")</f>
        <v xml:space="preserve">   ZZZ_Monde</v>
      </c>
      <c r="C1192">
        <v>182300000</v>
      </c>
      <c r="D1192">
        <v>53550</v>
      </c>
    </row>
    <row r="1193" spans="1:4" x14ac:dyDescent="0.25">
      <c r="A1193" t="str">
        <f>T("   BF")</f>
        <v xml:space="preserve">   BF</v>
      </c>
      <c r="B1193" t="str">
        <f>T("   Burkina Faso")</f>
        <v xml:space="preserve">   Burkina Faso</v>
      </c>
      <c r="C1193">
        <v>182300000</v>
      </c>
      <c r="D1193">
        <v>53550</v>
      </c>
    </row>
    <row r="1194" spans="1:4" x14ac:dyDescent="0.25">
      <c r="A1194" t="str">
        <f>T("830140")</f>
        <v>830140</v>
      </c>
      <c r="B1194" t="str">
        <f>T("Serrures et verrous, en métaux communs (autres que cadenas et serrures des types utilisés pour véhicules automobiles ou meubles)")</f>
        <v>Serrures et verrous, en métaux communs (autres que cadenas et serrures des types utilisés pour véhicules automobiles ou meubles)</v>
      </c>
    </row>
    <row r="1195" spans="1:4" x14ac:dyDescent="0.25">
      <c r="A1195" t="str">
        <f>T("   ZZZ_Monde")</f>
        <v xml:space="preserve">   ZZZ_Monde</v>
      </c>
      <c r="B1195" t="str">
        <f>T("   ZZZ_Monde")</f>
        <v xml:space="preserve">   ZZZ_Monde</v>
      </c>
      <c r="C1195">
        <v>240000</v>
      </c>
      <c r="D1195">
        <v>2250</v>
      </c>
    </row>
    <row r="1196" spans="1:4" x14ac:dyDescent="0.25">
      <c r="A1196" t="str">
        <f>T("   TG")</f>
        <v xml:space="preserve">   TG</v>
      </c>
      <c r="B1196" t="str">
        <f>T("   Togo")</f>
        <v xml:space="preserve">   Togo</v>
      </c>
      <c r="C1196">
        <v>240000</v>
      </c>
      <c r="D1196">
        <v>2250</v>
      </c>
    </row>
    <row r="1197" spans="1:4" x14ac:dyDescent="0.25">
      <c r="A1197" t="str">
        <f>T("830910")</f>
        <v>830910</v>
      </c>
      <c r="B1197" t="str">
        <f>T("Bouchons-couronnes en métaux communs")</f>
        <v>Bouchons-couronnes en métaux communs</v>
      </c>
    </row>
    <row r="1198" spans="1:4" x14ac:dyDescent="0.25">
      <c r="A1198" t="str">
        <f>T("   ZZZ_Monde")</f>
        <v xml:space="preserve">   ZZZ_Monde</v>
      </c>
      <c r="B1198" t="str">
        <f>T("   ZZZ_Monde")</f>
        <v xml:space="preserve">   ZZZ_Monde</v>
      </c>
      <c r="C1198">
        <v>17150050</v>
      </c>
      <c r="D1198">
        <v>7317</v>
      </c>
    </row>
    <row r="1199" spans="1:4" x14ac:dyDescent="0.25">
      <c r="A1199" t="str">
        <f>T("   CI")</f>
        <v xml:space="preserve">   CI</v>
      </c>
      <c r="B1199" t="str">
        <f>T("   Côte d'Ivoire")</f>
        <v xml:space="preserve">   Côte d'Ivoire</v>
      </c>
      <c r="C1199">
        <v>16066050</v>
      </c>
      <c r="D1199">
        <v>6852</v>
      </c>
    </row>
    <row r="1200" spans="1:4" x14ac:dyDescent="0.25">
      <c r="A1200" t="str">
        <f>T("   TG")</f>
        <v xml:space="preserve">   TG</v>
      </c>
      <c r="B1200" t="str">
        <f>T("   Togo")</f>
        <v xml:space="preserve">   Togo</v>
      </c>
      <c r="C1200">
        <v>1084000</v>
      </c>
      <c r="D1200">
        <v>465</v>
      </c>
    </row>
    <row r="1201" spans="1:4" x14ac:dyDescent="0.25">
      <c r="A1201" t="str">
        <f>T("840790")</f>
        <v>840790</v>
      </c>
      <c r="B1201" t="s">
        <v>15</v>
      </c>
    </row>
    <row r="1202" spans="1:4" x14ac:dyDescent="0.25">
      <c r="A1202" t="str">
        <f>T("   ZZZ_Monde")</f>
        <v xml:space="preserve">   ZZZ_Monde</v>
      </c>
      <c r="B1202" t="str">
        <f>T("   ZZZ_Monde")</f>
        <v xml:space="preserve">   ZZZ_Monde</v>
      </c>
      <c r="C1202">
        <v>1100000</v>
      </c>
      <c r="D1202">
        <v>51100</v>
      </c>
    </row>
    <row r="1203" spans="1:4" x14ac:dyDescent="0.25">
      <c r="A1203" t="str">
        <f>T("   GA")</f>
        <v xml:space="preserve">   GA</v>
      </c>
      <c r="B1203" t="str">
        <f>T("   Gabon")</f>
        <v xml:space="preserve">   Gabon</v>
      </c>
      <c r="C1203">
        <v>800000</v>
      </c>
      <c r="D1203">
        <v>50850</v>
      </c>
    </row>
    <row r="1204" spans="1:4" x14ac:dyDescent="0.25">
      <c r="A1204" t="str">
        <f>T("   GQ")</f>
        <v xml:space="preserve">   GQ</v>
      </c>
      <c r="B1204" t="str">
        <f>T("   Guinée Equatoriale")</f>
        <v xml:space="preserve">   Guinée Equatoriale</v>
      </c>
      <c r="C1204">
        <v>300000</v>
      </c>
      <c r="D1204">
        <v>250</v>
      </c>
    </row>
    <row r="1205" spans="1:4" x14ac:dyDescent="0.25">
      <c r="A1205" t="str">
        <f>T("840820")</f>
        <v>840820</v>
      </c>
      <c r="B1205" t="s">
        <v>16</v>
      </c>
    </row>
    <row r="1206" spans="1:4" x14ac:dyDescent="0.25">
      <c r="A1206" t="str">
        <f>T("   ZZZ_Monde")</f>
        <v xml:space="preserve">   ZZZ_Monde</v>
      </c>
      <c r="B1206" t="str">
        <f>T("   ZZZ_Monde")</f>
        <v xml:space="preserve">   ZZZ_Monde</v>
      </c>
      <c r="C1206">
        <v>5615000</v>
      </c>
      <c r="D1206">
        <v>4670</v>
      </c>
    </row>
    <row r="1207" spans="1:4" x14ac:dyDescent="0.25">
      <c r="A1207" t="str">
        <f>T("   GN")</f>
        <v xml:space="preserve">   GN</v>
      </c>
      <c r="B1207" t="str">
        <f>T("   Guinée")</f>
        <v xml:space="preserve">   Guinée</v>
      </c>
      <c r="C1207">
        <v>2520000</v>
      </c>
      <c r="D1207">
        <v>1150</v>
      </c>
    </row>
    <row r="1208" spans="1:4" x14ac:dyDescent="0.25">
      <c r="A1208" t="str">
        <f>T("   GQ")</f>
        <v xml:space="preserve">   GQ</v>
      </c>
      <c r="B1208" t="str">
        <f>T("   Guinée Equatoriale")</f>
        <v xml:space="preserve">   Guinée Equatoriale</v>
      </c>
      <c r="C1208">
        <v>3095000</v>
      </c>
      <c r="D1208">
        <v>3520</v>
      </c>
    </row>
    <row r="1209" spans="1:4" x14ac:dyDescent="0.25">
      <c r="A1209" t="str">
        <f>T("840890")</f>
        <v>840890</v>
      </c>
      <c r="B1209" t="s">
        <v>17</v>
      </c>
    </row>
    <row r="1210" spans="1:4" x14ac:dyDescent="0.25">
      <c r="A1210" t="str">
        <f>T("   ZZZ_Monde")</f>
        <v xml:space="preserve">   ZZZ_Monde</v>
      </c>
      <c r="B1210" t="str">
        <f>T("   ZZZ_Monde")</f>
        <v xml:space="preserve">   ZZZ_Monde</v>
      </c>
      <c r="C1210">
        <v>66494913</v>
      </c>
      <c r="D1210">
        <v>4770</v>
      </c>
    </row>
    <row r="1211" spans="1:4" x14ac:dyDescent="0.25">
      <c r="A1211" t="str">
        <f>T("   FR")</f>
        <v xml:space="preserve">   FR</v>
      </c>
      <c r="B1211" t="str">
        <f>T("   France")</f>
        <v xml:space="preserve">   France</v>
      </c>
      <c r="C1211">
        <v>1000000</v>
      </c>
      <c r="D1211">
        <v>1000</v>
      </c>
    </row>
    <row r="1212" spans="1:4" x14ac:dyDescent="0.25">
      <c r="A1212" t="str">
        <f>T("   US")</f>
        <v xml:space="preserve">   US</v>
      </c>
      <c r="B1212" t="str">
        <f>T("   Etats-Unis")</f>
        <v xml:space="preserve">   Etats-Unis</v>
      </c>
      <c r="C1212">
        <v>65494913</v>
      </c>
      <c r="D1212">
        <v>3770</v>
      </c>
    </row>
    <row r="1213" spans="1:4" x14ac:dyDescent="0.25">
      <c r="A1213" t="str">
        <f>T("840999")</f>
        <v>840999</v>
      </c>
      <c r="B1213" t="str">
        <f>T("Parties reconnaissables comme étant exclusivement ou principalement destinées aux moteurs à piston à allumage par compression, n.d.a.")</f>
        <v>Parties reconnaissables comme étant exclusivement ou principalement destinées aux moteurs à piston à allumage par compression, n.d.a.</v>
      </c>
    </row>
    <row r="1214" spans="1:4" x14ac:dyDescent="0.25">
      <c r="A1214" t="str">
        <f>T("   ZZZ_Monde")</f>
        <v xml:space="preserve">   ZZZ_Monde</v>
      </c>
      <c r="B1214" t="str">
        <f>T("   ZZZ_Monde")</f>
        <v xml:space="preserve">   ZZZ_Monde</v>
      </c>
      <c r="C1214">
        <v>1897088</v>
      </c>
      <c r="D1214">
        <v>3917</v>
      </c>
    </row>
    <row r="1215" spans="1:4" x14ac:dyDescent="0.25">
      <c r="A1215" t="str">
        <f>T("   BE")</f>
        <v xml:space="preserve">   BE</v>
      </c>
      <c r="B1215" t="str">
        <f>T("   Belgique")</f>
        <v xml:space="preserve">   Belgique</v>
      </c>
      <c r="C1215">
        <v>1897088</v>
      </c>
      <c r="D1215">
        <v>3917</v>
      </c>
    </row>
    <row r="1216" spans="1:4" x14ac:dyDescent="0.25">
      <c r="A1216" t="str">
        <f>T("841280")</f>
        <v>841280</v>
      </c>
      <c r="B1216" t="str">
        <f>T("Moteurs et machines motrices (à l'excl. des turbines à vapeur, moteurs à piston, turbines hydrauliques, roues hydrauliques, turbines à gaz, moteurs à réaction, moteurs hydrauliques et oléohydrauliques, moteurs pneumatiques et sauf moteurs électriques)")</f>
        <v>Moteurs et machines motrices (à l'excl. des turbines à vapeur, moteurs à piston, turbines hydrauliques, roues hydrauliques, turbines à gaz, moteurs à réaction, moteurs hydrauliques et oléohydrauliques, moteurs pneumatiques et sauf moteurs électriques)</v>
      </c>
    </row>
    <row r="1217" spans="1:4" x14ac:dyDescent="0.25">
      <c r="A1217" t="str">
        <f>T("   ZZZ_Monde")</f>
        <v xml:space="preserve">   ZZZ_Monde</v>
      </c>
      <c r="B1217" t="str">
        <f>T("   ZZZ_Monde")</f>
        <v xml:space="preserve">   ZZZ_Monde</v>
      </c>
      <c r="C1217">
        <v>395000</v>
      </c>
      <c r="D1217">
        <v>1050</v>
      </c>
    </row>
    <row r="1218" spans="1:4" x14ac:dyDescent="0.25">
      <c r="A1218" t="str">
        <f>T("   TG")</f>
        <v xml:space="preserve">   TG</v>
      </c>
      <c r="B1218" t="str">
        <f>T("   Togo")</f>
        <v xml:space="preserve">   Togo</v>
      </c>
      <c r="C1218">
        <v>395000</v>
      </c>
      <c r="D1218">
        <v>1050</v>
      </c>
    </row>
    <row r="1219" spans="1:4" x14ac:dyDescent="0.25">
      <c r="A1219" t="str">
        <f>T("841381")</f>
        <v>841381</v>
      </c>
      <c r="B1219" t="str">
        <f>T("Pompes pour liquides à moteur (sauf pompes à dispositif mesureur ou conçues pour en comporter du n° 8413.11 ou 8413.19, pompes à carburant, à huile ou à liquide de refroidissement pour moteurs à allumage par étincelles ou par compression, pompes à béton,")</f>
        <v>Pompes pour liquides à moteur (sauf pompes à dispositif mesureur ou conçues pour en comporter du n° 8413.11 ou 8413.19, pompes à carburant, à huile ou à liquide de refroidissement pour moteurs à allumage par étincelles ou par compression, pompes à béton,</v>
      </c>
    </row>
    <row r="1220" spans="1:4" x14ac:dyDescent="0.25">
      <c r="A1220" t="str">
        <f>T("   ZZZ_Monde")</f>
        <v xml:space="preserve">   ZZZ_Monde</v>
      </c>
      <c r="B1220" t="str">
        <f>T("   ZZZ_Monde")</f>
        <v xml:space="preserve">   ZZZ_Monde</v>
      </c>
      <c r="C1220">
        <v>11516009</v>
      </c>
      <c r="D1220">
        <v>6923</v>
      </c>
    </row>
    <row r="1221" spans="1:4" x14ac:dyDescent="0.25">
      <c r="A1221" t="str">
        <f>T("   BF")</f>
        <v xml:space="preserve">   BF</v>
      </c>
      <c r="B1221" t="str">
        <f>T("   Burkina Faso")</f>
        <v xml:space="preserve">   Burkina Faso</v>
      </c>
      <c r="C1221">
        <v>9176880</v>
      </c>
      <c r="D1221">
        <v>1923</v>
      </c>
    </row>
    <row r="1222" spans="1:4" x14ac:dyDescent="0.25">
      <c r="A1222" t="str">
        <f>T("   GN")</f>
        <v xml:space="preserve">   GN</v>
      </c>
      <c r="B1222" t="str">
        <f>T("   Guinée")</f>
        <v xml:space="preserve">   Guinée</v>
      </c>
      <c r="C1222">
        <v>2339129</v>
      </c>
      <c r="D1222">
        <v>5000</v>
      </c>
    </row>
    <row r="1223" spans="1:4" x14ac:dyDescent="0.25">
      <c r="A1223" t="str">
        <f>T("841430")</f>
        <v>841430</v>
      </c>
      <c r="B1223" t="str">
        <f>T("Compresseurs des types utilisés pour équipements frigorifiques")</f>
        <v>Compresseurs des types utilisés pour équipements frigorifiques</v>
      </c>
    </row>
    <row r="1224" spans="1:4" x14ac:dyDescent="0.25">
      <c r="A1224" t="str">
        <f>T("   ZZZ_Monde")</f>
        <v xml:space="preserve">   ZZZ_Monde</v>
      </c>
      <c r="B1224" t="str">
        <f>T("   ZZZ_Monde")</f>
        <v xml:space="preserve">   ZZZ_Monde</v>
      </c>
      <c r="C1224">
        <v>2354564</v>
      </c>
      <c r="D1224">
        <v>265</v>
      </c>
    </row>
    <row r="1225" spans="1:4" x14ac:dyDescent="0.25">
      <c r="A1225" t="str">
        <f>T("   DE")</f>
        <v xml:space="preserve">   DE</v>
      </c>
      <c r="B1225" t="str">
        <f>T("   Allemagne")</f>
        <v xml:space="preserve">   Allemagne</v>
      </c>
      <c r="C1225">
        <v>2119682</v>
      </c>
      <c r="D1225">
        <v>65</v>
      </c>
    </row>
    <row r="1226" spans="1:4" x14ac:dyDescent="0.25">
      <c r="A1226" t="str">
        <f>T("   NG")</f>
        <v xml:space="preserve">   NG</v>
      </c>
      <c r="B1226" t="str">
        <f>T("   Nigéria")</f>
        <v xml:space="preserve">   Nigéria</v>
      </c>
      <c r="C1226">
        <v>234882</v>
      </c>
      <c r="D1226">
        <v>200</v>
      </c>
    </row>
    <row r="1227" spans="1:4" x14ac:dyDescent="0.25">
      <c r="A1227" t="str">
        <f>T("841440")</f>
        <v>841440</v>
      </c>
      <c r="B1227" t="str">
        <f>T("Compresseurs d'air montés sur châssis à roues et remorquables")</f>
        <v>Compresseurs d'air montés sur châssis à roues et remorquables</v>
      </c>
    </row>
    <row r="1228" spans="1:4" x14ac:dyDescent="0.25">
      <c r="A1228" t="str">
        <f>T("   ZZZ_Monde")</f>
        <v xml:space="preserve">   ZZZ_Monde</v>
      </c>
      <c r="B1228" t="str">
        <f>T("   ZZZ_Monde")</f>
        <v xml:space="preserve">   ZZZ_Monde</v>
      </c>
      <c r="C1228">
        <v>16414913</v>
      </c>
      <c r="D1228">
        <v>5866</v>
      </c>
    </row>
    <row r="1229" spans="1:4" x14ac:dyDescent="0.25">
      <c r="A1229" t="str">
        <f>T("   FR")</f>
        <v xml:space="preserve">   FR</v>
      </c>
      <c r="B1229" t="str">
        <f>T("   France")</f>
        <v xml:space="preserve">   France</v>
      </c>
      <c r="C1229">
        <v>5482513</v>
      </c>
      <c r="D1229">
        <v>416</v>
      </c>
    </row>
    <row r="1230" spans="1:4" x14ac:dyDescent="0.25">
      <c r="A1230" t="str">
        <f>T("   GA")</f>
        <v xml:space="preserve">   GA</v>
      </c>
      <c r="B1230" t="str">
        <f>T("   Gabon")</f>
        <v xml:space="preserve">   Gabon</v>
      </c>
      <c r="C1230">
        <v>100000</v>
      </c>
      <c r="D1230">
        <v>950</v>
      </c>
    </row>
    <row r="1231" spans="1:4" x14ac:dyDescent="0.25">
      <c r="A1231" t="str">
        <f>T("   NE")</f>
        <v xml:space="preserve">   NE</v>
      </c>
      <c r="B1231" t="str">
        <f>T("   Niger")</f>
        <v xml:space="preserve">   Niger</v>
      </c>
      <c r="C1231">
        <v>10832400</v>
      </c>
      <c r="D1231">
        <v>4500</v>
      </c>
    </row>
    <row r="1232" spans="1:4" x14ac:dyDescent="0.25">
      <c r="A1232" t="str">
        <f>T("841810")</f>
        <v>841810</v>
      </c>
      <c r="B1232" t="str">
        <f>T("Réfrigérateurs et congélateurs-conservateurs combinés, avec portes extérieures séparées")</f>
        <v>Réfrigérateurs et congélateurs-conservateurs combinés, avec portes extérieures séparées</v>
      </c>
    </row>
    <row r="1233" spans="1:4" x14ac:dyDescent="0.25">
      <c r="A1233" t="str">
        <f>T("   ZZZ_Monde")</f>
        <v xml:space="preserve">   ZZZ_Monde</v>
      </c>
      <c r="B1233" t="str">
        <f>T("   ZZZ_Monde")</f>
        <v xml:space="preserve">   ZZZ_Monde</v>
      </c>
      <c r="C1233">
        <v>95716868</v>
      </c>
      <c r="D1233">
        <v>29760</v>
      </c>
    </row>
    <row r="1234" spans="1:4" x14ac:dyDescent="0.25">
      <c r="A1234" t="str">
        <f>T("   TG")</f>
        <v xml:space="preserve">   TG</v>
      </c>
      <c r="B1234" t="str">
        <f>T("   Togo")</f>
        <v xml:space="preserve">   Togo</v>
      </c>
      <c r="C1234">
        <v>95716868</v>
      </c>
      <c r="D1234">
        <v>29760</v>
      </c>
    </row>
    <row r="1235" spans="1:4" x14ac:dyDescent="0.25">
      <c r="A1235" t="str">
        <f>T("841829")</f>
        <v>841829</v>
      </c>
      <c r="B1235" t="str">
        <f>T("Réfrigérateurs ménagers à absorption, non-électriques")</f>
        <v>Réfrigérateurs ménagers à absorption, non-électriques</v>
      </c>
    </row>
    <row r="1236" spans="1:4" x14ac:dyDescent="0.25">
      <c r="A1236" t="str">
        <f>T("   ZZZ_Monde")</f>
        <v xml:space="preserve">   ZZZ_Monde</v>
      </c>
      <c r="B1236" t="str">
        <f>T("   ZZZ_Monde")</f>
        <v xml:space="preserve">   ZZZ_Monde</v>
      </c>
      <c r="C1236">
        <v>121008008</v>
      </c>
      <c r="D1236">
        <v>35750</v>
      </c>
    </row>
    <row r="1237" spans="1:4" x14ac:dyDescent="0.25">
      <c r="A1237" t="str">
        <f>T("   GH")</f>
        <v xml:space="preserve">   GH</v>
      </c>
      <c r="B1237" t="str">
        <f>T("   Ghana")</f>
        <v xml:space="preserve">   Ghana</v>
      </c>
      <c r="C1237">
        <v>41985575</v>
      </c>
      <c r="D1237">
        <v>12700</v>
      </c>
    </row>
    <row r="1238" spans="1:4" x14ac:dyDescent="0.25">
      <c r="A1238" t="str">
        <f>T("   GQ")</f>
        <v xml:space="preserve">   GQ</v>
      </c>
      <c r="B1238" t="str">
        <f>T("   Guinée Equatoriale")</f>
        <v xml:space="preserve">   Guinée Equatoriale</v>
      </c>
      <c r="C1238">
        <v>120000</v>
      </c>
      <c r="D1238">
        <v>50</v>
      </c>
    </row>
    <row r="1239" spans="1:4" x14ac:dyDescent="0.25">
      <c r="A1239" t="str">
        <f>T("   TG")</f>
        <v xml:space="preserve">   TG</v>
      </c>
      <c r="B1239" t="str">
        <f>T("   Togo")</f>
        <v xml:space="preserve">   Togo</v>
      </c>
      <c r="C1239">
        <v>78902433</v>
      </c>
      <c r="D1239">
        <v>23000</v>
      </c>
    </row>
    <row r="1240" spans="1:4" x14ac:dyDescent="0.25">
      <c r="A1240" t="str">
        <f>T("841850")</f>
        <v>841850</v>
      </c>
      <c r="B1240" t="str">
        <f>T("MEUBLES [COFFRES, ARMOIRES, VITRINES, COMPTOIRS ET SIMIL.] POUR LA CONSERVATION ET L'EXPOSITION DE PRODUITS, INCORPORANT UN ÉQUIPEMENT POUR LA PRODUCTION DU FROID (SAUF RÉFRIGÉRATEURS ET CONGÉLATEURS-CONSERVATEURS COMBINÉS, À PORTES EXTÉRIEURES SÉPARÉES,")</f>
        <v>MEUBLES [COFFRES, ARMOIRES, VITRINES, COMPTOIRS ET SIMIL.] POUR LA CONSERVATION ET L'EXPOSITION DE PRODUITS, INCORPORANT UN ÉQUIPEMENT POUR LA PRODUCTION DU FROID (SAUF RÉFRIGÉRATEURS ET CONGÉLATEURS-CONSERVATEURS COMBINÉS, À PORTES EXTÉRIEURES SÉPARÉES,</v>
      </c>
    </row>
    <row r="1241" spans="1:4" x14ac:dyDescent="0.25">
      <c r="A1241" t="str">
        <f>T("   ZZZ_Monde")</f>
        <v xml:space="preserve">   ZZZ_Monde</v>
      </c>
      <c r="B1241" t="str">
        <f>T("   ZZZ_Monde")</f>
        <v xml:space="preserve">   ZZZ_Monde</v>
      </c>
      <c r="C1241">
        <v>310000</v>
      </c>
      <c r="D1241">
        <v>6</v>
      </c>
    </row>
    <row r="1242" spans="1:4" x14ac:dyDescent="0.25">
      <c r="A1242" t="str">
        <f>T("   GQ")</f>
        <v xml:space="preserve">   GQ</v>
      </c>
      <c r="B1242" t="str">
        <f>T("   Guinée Equatoriale")</f>
        <v xml:space="preserve">   Guinée Equatoriale</v>
      </c>
      <c r="C1242">
        <v>310000</v>
      </c>
      <c r="D1242">
        <v>6</v>
      </c>
    </row>
    <row r="1243" spans="1:4" x14ac:dyDescent="0.25">
      <c r="A1243" t="str">
        <f>T("841989")</f>
        <v>841989</v>
      </c>
      <c r="B1243" t="str">
        <f>T("Appareils et dispositifs, même chauffés électriquement, pour le traitement de matières par des opérations impliquant un changement de température telles que le chauffage, la cuisson, la torréfaction, la stérilisation, la pasteurisation, l'étuvage,  l'évap")</f>
        <v>Appareils et dispositifs, même chauffés électriquement, pour le traitement de matières par des opérations impliquant un changement de température telles que le chauffage, la cuisson, la torréfaction, la stérilisation, la pasteurisation, l'étuvage,  l'évap</v>
      </c>
    </row>
    <row r="1244" spans="1:4" x14ac:dyDescent="0.25">
      <c r="A1244" t="str">
        <f>T("   ZZZ_Monde")</f>
        <v xml:space="preserve">   ZZZ_Monde</v>
      </c>
      <c r="B1244" t="str">
        <f>T("   ZZZ_Monde")</f>
        <v xml:space="preserve">   ZZZ_Monde</v>
      </c>
      <c r="C1244">
        <v>1500000</v>
      </c>
      <c r="D1244">
        <v>18200</v>
      </c>
    </row>
    <row r="1245" spans="1:4" x14ac:dyDescent="0.25">
      <c r="A1245" t="str">
        <f>T("   TG")</f>
        <v xml:space="preserve">   TG</v>
      </c>
      <c r="B1245" t="str">
        <f>T("   Togo")</f>
        <v xml:space="preserve">   Togo</v>
      </c>
      <c r="C1245">
        <v>1500000</v>
      </c>
      <c r="D1245">
        <v>18200</v>
      </c>
    </row>
    <row r="1246" spans="1:4" x14ac:dyDescent="0.25">
      <c r="A1246" t="str">
        <f>T("842121")</f>
        <v>842121</v>
      </c>
      <c r="B1246" t="str">
        <f>T("Appareils pour la filtration ou l'épuration des eaux")</f>
        <v>Appareils pour la filtration ou l'épuration des eaux</v>
      </c>
    </row>
    <row r="1247" spans="1:4" x14ac:dyDescent="0.25">
      <c r="A1247" t="str">
        <f>T("   ZZZ_Monde")</f>
        <v xml:space="preserve">   ZZZ_Monde</v>
      </c>
      <c r="B1247" t="str">
        <f>T("   ZZZ_Monde")</f>
        <v xml:space="preserve">   ZZZ_Monde</v>
      </c>
      <c r="C1247">
        <v>14000000</v>
      </c>
      <c r="D1247">
        <v>6533</v>
      </c>
    </row>
    <row r="1248" spans="1:4" x14ac:dyDescent="0.25">
      <c r="A1248" t="str">
        <f>T("   CD")</f>
        <v xml:space="preserve">   CD</v>
      </c>
      <c r="B1248" t="str">
        <f>T("   Congo, République Démocratique")</f>
        <v xml:space="preserve">   Congo, République Démocratique</v>
      </c>
      <c r="C1248">
        <v>14000000</v>
      </c>
      <c r="D1248">
        <v>6533</v>
      </c>
    </row>
    <row r="1249" spans="1:4" x14ac:dyDescent="0.25">
      <c r="A1249" t="str">
        <f>T("842199")</f>
        <v>842199</v>
      </c>
      <c r="B1249" t="str">
        <f>T("Parties d'appareils pour la filtration ou l'épuration des liquides ou des gaz, n.d.a.")</f>
        <v>Parties d'appareils pour la filtration ou l'épuration des liquides ou des gaz, n.d.a.</v>
      </c>
    </row>
    <row r="1250" spans="1:4" x14ac:dyDescent="0.25">
      <c r="A1250" t="str">
        <f>T("   ZZZ_Monde")</f>
        <v xml:space="preserve">   ZZZ_Monde</v>
      </c>
      <c r="B1250" t="str">
        <f>T("   ZZZ_Monde")</f>
        <v xml:space="preserve">   ZZZ_Monde</v>
      </c>
      <c r="C1250">
        <v>1000000</v>
      </c>
      <c r="D1250">
        <v>467</v>
      </c>
    </row>
    <row r="1251" spans="1:4" x14ac:dyDescent="0.25">
      <c r="A1251" t="str">
        <f>T("   CD")</f>
        <v xml:space="preserve">   CD</v>
      </c>
      <c r="B1251" t="str">
        <f>T("   Congo, République Démocratique")</f>
        <v xml:space="preserve">   Congo, République Démocratique</v>
      </c>
      <c r="C1251">
        <v>1000000</v>
      </c>
      <c r="D1251">
        <v>467</v>
      </c>
    </row>
    <row r="1252" spans="1:4" x14ac:dyDescent="0.25">
      <c r="A1252" t="str">
        <f>T("842230")</f>
        <v>842230</v>
      </c>
      <c r="B1252" t="str">
        <f>T("Machines et appareils à remplir, fermer, boucher ou étiqueter les bouteilles, boîtes, sacs ou autres contenants; machines et appareils à capsuler les bouteilles, pots, tubes et contenants analogues; appareils à gazéifier les boissons")</f>
        <v>Machines et appareils à remplir, fermer, boucher ou étiqueter les bouteilles, boîtes, sacs ou autres contenants; machines et appareils à capsuler les bouteilles, pots, tubes et contenants analogues; appareils à gazéifier les boissons</v>
      </c>
    </row>
    <row r="1253" spans="1:4" x14ac:dyDescent="0.25">
      <c r="A1253" t="str">
        <f>T("   ZZZ_Monde")</f>
        <v xml:space="preserve">   ZZZ_Monde</v>
      </c>
      <c r="B1253" t="str">
        <f>T("   ZZZ_Monde")</f>
        <v xml:space="preserve">   ZZZ_Monde</v>
      </c>
      <c r="C1253">
        <v>13421800</v>
      </c>
      <c r="D1253">
        <v>60000</v>
      </c>
    </row>
    <row r="1254" spans="1:4" x14ac:dyDescent="0.25">
      <c r="A1254" t="str">
        <f>T("   SN")</f>
        <v xml:space="preserve">   SN</v>
      </c>
      <c r="B1254" t="str">
        <f>T("   Sénégal")</f>
        <v xml:space="preserve">   Sénégal</v>
      </c>
      <c r="C1254">
        <v>13421800</v>
      </c>
      <c r="D1254">
        <v>60000</v>
      </c>
    </row>
    <row r="1255" spans="1:4" x14ac:dyDescent="0.25">
      <c r="A1255" t="str">
        <f>T("842420")</f>
        <v>842420</v>
      </c>
      <c r="B1255" t="str">
        <f>T("PISTOLETS AÉROGRAPHES ET APPAREILS SIMIL. (À L'EXCL. DES MACHINES ET APPAREILS ÉLECTRIQUES POUR LA PROJECTION À CHAUD DE MÉTAUX OU DE CARBURES MÉTALLIQUES FRITTÉS [N¦ 8515] AINSI QUE DES MACHINES ET APPAREILS À JET DE SABLE, VAPEUR, ETC.) [01/01/1988-31/1")</f>
        <v>PISTOLETS AÉROGRAPHES ET APPAREILS SIMIL. (À L'EXCL. DES MACHINES ET APPAREILS ÉLECTRIQUES POUR LA PROJECTION À CHAUD DE MÉTAUX OU DE CARBURES MÉTALLIQUES FRITTÉS [N¦ 8515] AINSI QUE DES MACHINES ET APPAREILS À JET DE SABLE, VAPEUR, ETC.) [01/01/1988-31/1</v>
      </c>
    </row>
    <row r="1256" spans="1:4" x14ac:dyDescent="0.25">
      <c r="A1256" t="str">
        <f>T("   ZZZ_Monde")</f>
        <v xml:space="preserve">   ZZZ_Monde</v>
      </c>
      <c r="B1256" t="str">
        <f>T("   ZZZ_Monde")</f>
        <v xml:space="preserve">   ZZZ_Monde</v>
      </c>
      <c r="C1256">
        <v>2351616</v>
      </c>
      <c r="D1256">
        <v>178</v>
      </c>
    </row>
    <row r="1257" spans="1:4" x14ac:dyDescent="0.25">
      <c r="A1257" t="str">
        <f>T("   FR")</f>
        <v xml:space="preserve">   FR</v>
      </c>
      <c r="B1257" t="str">
        <f>T("   France")</f>
        <v xml:space="preserve">   France</v>
      </c>
      <c r="C1257">
        <v>2351616</v>
      </c>
      <c r="D1257">
        <v>178</v>
      </c>
    </row>
    <row r="1258" spans="1:4" x14ac:dyDescent="0.25">
      <c r="A1258" t="str">
        <f>T("842539")</f>
        <v>842539</v>
      </c>
      <c r="B1258" t="str">
        <f>T("Treuils et cabestans, autres qu'à moteur électrique (sauf treuils pour puits de mines et sauf treuils spécialement conçus pour mines au fond)")</f>
        <v>Treuils et cabestans, autres qu'à moteur électrique (sauf treuils pour puits de mines et sauf treuils spécialement conçus pour mines au fond)</v>
      </c>
    </row>
    <row r="1259" spans="1:4" x14ac:dyDescent="0.25">
      <c r="A1259" t="str">
        <f>T("   ZZZ_Monde")</f>
        <v xml:space="preserve">   ZZZ_Monde</v>
      </c>
      <c r="B1259" t="str">
        <f>T("   ZZZ_Monde")</f>
        <v xml:space="preserve">   ZZZ_Monde</v>
      </c>
      <c r="C1259">
        <v>1350115</v>
      </c>
      <c r="D1259">
        <v>97</v>
      </c>
    </row>
    <row r="1260" spans="1:4" x14ac:dyDescent="0.25">
      <c r="A1260" t="str">
        <f>T("   CI")</f>
        <v xml:space="preserve">   CI</v>
      </c>
      <c r="B1260" t="str">
        <f>T("   Côte d'Ivoire")</f>
        <v xml:space="preserve">   Côte d'Ivoire</v>
      </c>
      <c r="C1260">
        <v>1350115</v>
      </c>
      <c r="D1260">
        <v>97</v>
      </c>
    </row>
    <row r="1261" spans="1:4" x14ac:dyDescent="0.25">
      <c r="A1261" t="str">
        <f>T("842549")</f>
        <v>842549</v>
      </c>
      <c r="B1261" t="str">
        <f>T("Crics et vérins, non hydrauliques")</f>
        <v>Crics et vérins, non hydrauliques</v>
      </c>
    </row>
    <row r="1262" spans="1:4" x14ac:dyDescent="0.25">
      <c r="A1262" t="str">
        <f>T("   ZZZ_Monde")</f>
        <v xml:space="preserve">   ZZZ_Monde</v>
      </c>
      <c r="B1262" t="str">
        <f>T("   ZZZ_Monde")</f>
        <v xml:space="preserve">   ZZZ_Monde</v>
      </c>
      <c r="C1262">
        <v>958700</v>
      </c>
      <c r="D1262">
        <v>170</v>
      </c>
    </row>
    <row r="1263" spans="1:4" x14ac:dyDescent="0.25">
      <c r="A1263" t="str">
        <f>T("   GH")</f>
        <v xml:space="preserve">   GH</v>
      </c>
      <c r="B1263" t="str">
        <f>T("   Ghana")</f>
        <v xml:space="preserve">   Ghana</v>
      </c>
      <c r="C1263">
        <v>958700</v>
      </c>
      <c r="D1263">
        <v>170</v>
      </c>
    </row>
    <row r="1264" spans="1:4" x14ac:dyDescent="0.25">
      <c r="A1264" t="str">
        <f>T("842630")</f>
        <v>842630</v>
      </c>
      <c r="B1264" t="str">
        <f>T("Grues sur portiques")</f>
        <v>Grues sur portiques</v>
      </c>
    </row>
    <row r="1265" spans="1:4" x14ac:dyDescent="0.25">
      <c r="A1265" t="str">
        <f>T("   ZZZ_Monde")</f>
        <v xml:space="preserve">   ZZZ_Monde</v>
      </c>
      <c r="B1265" t="str">
        <f>T("   ZZZ_Monde")</f>
        <v xml:space="preserve">   ZZZ_Monde</v>
      </c>
      <c r="C1265">
        <v>278293160</v>
      </c>
      <c r="D1265">
        <v>109650</v>
      </c>
    </row>
    <row r="1266" spans="1:4" x14ac:dyDescent="0.25">
      <c r="A1266" t="str">
        <f>T("   BF")</f>
        <v xml:space="preserve">   BF</v>
      </c>
      <c r="B1266" t="str">
        <f>T("   Burkina Faso")</f>
        <v xml:space="preserve">   Burkina Faso</v>
      </c>
      <c r="C1266">
        <v>66260650</v>
      </c>
      <c r="D1266">
        <v>41250</v>
      </c>
    </row>
    <row r="1267" spans="1:4" x14ac:dyDescent="0.25">
      <c r="A1267" t="str">
        <f>T("   TG")</f>
        <v xml:space="preserve">   TG</v>
      </c>
      <c r="B1267" t="str">
        <f>T("   Togo")</f>
        <v xml:space="preserve">   Togo</v>
      </c>
      <c r="C1267">
        <v>212032510</v>
      </c>
      <c r="D1267">
        <v>68400</v>
      </c>
    </row>
    <row r="1268" spans="1:4" x14ac:dyDescent="0.25">
      <c r="A1268" t="str">
        <f>T("842720")</f>
        <v>842720</v>
      </c>
      <c r="B1268" t="str">
        <f>T("Chariots de manutention autopropulsés, autres qu'à moteur électrique, avec dispositif de levage")</f>
        <v>Chariots de manutention autopropulsés, autres qu'à moteur électrique, avec dispositif de levage</v>
      </c>
    </row>
    <row r="1269" spans="1:4" x14ac:dyDescent="0.25">
      <c r="A1269" t="str">
        <f>T("   ZZZ_Monde")</f>
        <v xml:space="preserve">   ZZZ_Monde</v>
      </c>
      <c r="B1269" t="str">
        <f>T("   ZZZ_Monde")</f>
        <v xml:space="preserve">   ZZZ_Monde</v>
      </c>
      <c r="C1269">
        <v>23437050</v>
      </c>
      <c r="D1269">
        <v>13336</v>
      </c>
    </row>
    <row r="1270" spans="1:4" x14ac:dyDescent="0.25">
      <c r="A1270" t="str">
        <f>T("   CI")</f>
        <v xml:space="preserve">   CI</v>
      </c>
      <c r="B1270" t="str">
        <f>T("   Côte d'Ivoire")</f>
        <v xml:space="preserve">   Côte d'Ivoire</v>
      </c>
      <c r="C1270">
        <v>23437050</v>
      </c>
      <c r="D1270">
        <v>13336</v>
      </c>
    </row>
    <row r="1271" spans="1:4" x14ac:dyDescent="0.25">
      <c r="A1271" t="str">
        <f>T("842790")</f>
        <v>842790</v>
      </c>
      <c r="B1271" t="str">
        <f>T("Chariots de manutention munis d'un dispositif de levage mais non autopropulsés")</f>
        <v>Chariots de manutention munis d'un dispositif de levage mais non autopropulsés</v>
      </c>
    </row>
    <row r="1272" spans="1:4" x14ac:dyDescent="0.25">
      <c r="A1272" t="str">
        <f>T("   ZZZ_Monde")</f>
        <v xml:space="preserve">   ZZZ_Monde</v>
      </c>
      <c r="B1272" t="str">
        <f>T("   ZZZ_Monde")</f>
        <v xml:space="preserve">   ZZZ_Monde</v>
      </c>
      <c r="C1272">
        <v>10862698</v>
      </c>
      <c r="D1272">
        <v>3990</v>
      </c>
    </row>
    <row r="1273" spans="1:4" x14ac:dyDescent="0.25">
      <c r="A1273" t="str">
        <f>T("   CM")</f>
        <v xml:space="preserve">   CM</v>
      </c>
      <c r="B1273" t="str">
        <f>T("   Cameroun")</f>
        <v xml:space="preserve">   Cameroun</v>
      </c>
      <c r="C1273">
        <v>10862698</v>
      </c>
      <c r="D1273">
        <v>3990</v>
      </c>
    </row>
    <row r="1274" spans="1:4" x14ac:dyDescent="0.25">
      <c r="A1274" t="str">
        <f>T("842890")</f>
        <v>842890</v>
      </c>
      <c r="B1274" t="str">
        <f>T("Machines et appareils de levage, chargement, déchargement ou manutention, n.d.a.")</f>
        <v>Machines et appareils de levage, chargement, déchargement ou manutention, n.d.a.</v>
      </c>
    </row>
    <row r="1275" spans="1:4" x14ac:dyDescent="0.25">
      <c r="A1275" t="str">
        <f>T("   ZZZ_Monde")</f>
        <v xml:space="preserve">   ZZZ_Monde</v>
      </c>
      <c r="B1275" t="str">
        <f>T("   ZZZ_Monde")</f>
        <v xml:space="preserve">   ZZZ_Monde</v>
      </c>
      <c r="C1275">
        <v>4134028</v>
      </c>
      <c r="D1275">
        <v>24935</v>
      </c>
    </row>
    <row r="1276" spans="1:4" x14ac:dyDescent="0.25">
      <c r="A1276" t="str">
        <f>T("   NG")</f>
        <v xml:space="preserve">   NG</v>
      </c>
      <c r="B1276" t="str">
        <f>T("   Nigéria")</f>
        <v xml:space="preserve">   Nigéria</v>
      </c>
      <c r="C1276">
        <v>2634028</v>
      </c>
      <c r="D1276">
        <v>22000</v>
      </c>
    </row>
    <row r="1277" spans="1:4" x14ac:dyDescent="0.25">
      <c r="A1277" t="str">
        <f>T("   TG")</f>
        <v xml:space="preserve">   TG</v>
      </c>
      <c r="B1277" t="str">
        <f>T("   Togo")</f>
        <v xml:space="preserve">   Togo</v>
      </c>
      <c r="C1277">
        <v>1500000</v>
      </c>
      <c r="D1277">
        <v>2935</v>
      </c>
    </row>
    <row r="1278" spans="1:4" x14ac:dyDescent="0.25">
      <c r="A1278" t="str">
        <f>T("842911")</f>
        <v>842911</v>
      </c>
      <c r="B1278" t="str">
        <f>T("Bouteurs 'bulldozers' et bouteurs biais 'angledozers', à chenilles")</f>
        <v>Bouteurs 'bulldozers' et bouteurs biais 'angledozers', à chenilles</v>
      </c>
    </row>
    <row r="1279" spans="1:4" x14ac:dyDescent="0.25">
      <c r="A1279" t="str">
        <f>T("   ZZZ_Monde")</f>
        <v xml:space="preserve">   ZZZ_Monde</v>
      </c>
      <c r="B1279" t="str">
        <f>T("   ZZZ_Monde")</f>
        <v xml:space="preserve">   ZZZ_Monde</v>
      </c>
      <c r="C1279">
        <v>183976908</v>
      </c>
      <c r="D1279">
        <v>60393</v>
      </c>
    </row>
    <row r="1280" spans="1:4" x14ac:dyDescent="0.25">
      <c r="A1280" t="str">
        <f>T("   NG")</f>
        <v xml:space="preserve">   NG</v>
      </c>
      <c r="B1280" t="str">
        <f>T("   Nigéria")</f>
        <v xml:space="preserve">   Nigéria</v>
      </c>
      <c r="C1280">
        <v>183976908</v>
      </c>
      <c r="D1280">
        <v>60393</v>
      </c>
    </row>
    <row r="1281" spans="1:4" x14ac:dyDescent="0.25">
      <c r="A1281" t="str">
        <f>T("842919")</f>
        <v>842919</v>
      </c>
      <c r="B1281" t="str">
        <f>T("Bouteurs 'bulldozers' et bouteurs biais 'angledozers', sur roues")</f>
        <v>Bouteurs 'bulldozers' et bouteurs biais 'angledozers', sur roues</v>
      </c>
    </row>
    <row r="1282" spans="1:4" x14ac:dyDescent="0.25">
      <c r="A1282" t="str">
        <f>T("   ZZZ_Monde")</f>
        <v xml:space="preserve">   ZZZ_Monde</v>
      </c>
      <c r="B1282" t="str">
        <f>T("   ZZZ_Monde")</f>
        <v xml:space="preserve">   ZZZ_Monde</v>
      </c>
      <c r="C1282">
        <v>91302543</v>
      </c>
      <c r="D1282">
        <v>78586</v>
      </c>
    </row>
    <row r="1283" spans="1:4" x14ac:dyDescent="0.25">
      <c r="A1283" t="str">
        <f>T("   GA")</f>
        <v xml:space="preserve">   GA</v>
      </c>
      <c r="B1283" t="str">
        <f>T("   Gabon")</f>
        <v xml:space="preserve">   Gabon</v>
      </c>
      <c r="C1283">
        <v>3000000</v>
      </c>
      <c r="D1283">
        <v>25000</v>
      </c>
    </row>
    <row r="1284" spans="1:4" x14ac:dyDescent="0.25">
      <c r="A1284" t="str">
        <f>T("   GH")</f>
        <v xml:space="preserve">   GH</v>
      </c>
      <c r="B1284" t="str">
        <f>T("   Ghana")</f>
        <v xml:space="preserve">   Ghana</v>
      </c>
      <c r="C1284">
        <v>82238114</v>
      </c>
      <c r="D1284">
        <v>10886</v>
      </c>
    </row>
    <row r="1285" spans="1:4" x14ac:dyDescent="0.25">
      <c r="A1285" t="str">
        <f>T("   NG")</f>
        <v xml:space="preserve">   NG</v>
      </c>
      <c r="B1285" t="str">
        <f>T("   Nigéria")</f>
        <v xml:space="preserve">   Nigéria</v>
      </c>
      <c r="C1285">
        <v>6064429</v>
      </c>
      <c r="D1285">
        <v>42700</v>
      </c>
    </row>
    <row r="1286" spans="1:4" x14ac:dyDescent="0.25">
      <c r="A1286" t="str">
        <f>T("842920")</f>
        <v>842920</v>
      </c>
      <c r="B1286" t="str">
        <f>T("Niveleuses autopropulsées")</f>
        <v>Niveleuses autopropulsées</v>
      </c>
    </row>
    <row r="1287" spans="1:4" x14ac:dyDescent="0.25">
      <c r="A1287" t="str">
        <f>T("   ZZZ_Monde")</f>
        <v xml:space="preserve">   ZZZ_Monde</v>
      </c>
      <c r="B1287" t="str">
        <f>T("   ZZZ_Monde")</f>
        <v xml:space="preserve">   ZZZ_Monde</v>
      </c>
      <c r="C1287">
        <v>425347911</v>
      </c>
      <c r="D1287">
        <v>267507</v>
      </c>
    </row>
    <row r="1288" spans="1:4" x14ac:dyDescent="0.25">
      <c r="A1288" t="str">
        <f>T("   BF")</f>
        <v xml:space="preserve">   BF</v>
      </c>
      <c r="B1288" t="str">
        <f>T("   Burkina Faso")</f>
        <v xml:space="preserve">   Burkina Faso</v>
      </c>
      <c r="C1288">
        <v>12600000</v>
      </c>
      <c r="D1288">
        <v>9920</v>
      </c>
    </row>
    <row r="1289" spans="1:4" x14ac:dyDescent="0.25">
      <c r="A1289" t="str">
        <f>T("   GH")</f>
        <v xml:space="preserve">   GH</v>
      </c>
      <c r="B1289" t="str">
        <f>T("   Ghana")</f>
        <v xml:space="preserve">   Ghana</v>
      </c>
      <c r="C1289">
        <v>150915935</v>
      </c>
      <c r="D1289">
        <v>96576</v>
      </c>
    </row>
    <row r="1290" spans="1:4" x14ac:dyDescent="0.25">
      <c r="A1290" t="str">
        <f>T("   LB")</f>
        <v xml:space="preserve">   LB</v>
      </c>
      <c r="B1290" t="str">
        <f>T("   Liban")</f>
        <v xml:space="preserve">   Liban</v>
      </c>
      <c r="C1290">
        <v>8000000</v>
      </c>
      <c r="D1290">
        <v>59000</v>
      </c>
    </row>
    <row r="1291" spans="1:4" x14ac:dyDescent="0.25">
      <c r="A1291" t="str">
        <f>T("   NG")</f>
        <v xml:space="preserve">   NG</v>
      </c>
      <c r="B1291" t="str">
        <f>T("   Nigéria")</f>
        <v xml:space="preserve">   Nigéria</v>
      </c>
      <c r="C1291">
        <v>227831976</v>
      </c>
      <c r="D1291">
        <v>84011</v>
      </c>
    </row>
    <row r="1292" spans="1:4" x14ac:dyDescent="0.25">
      <c r="A1292" t="str">
        <f>T("   TG")</f>
        <v xml:space="preserve">   TG</v>
      </c>
      <c r="B1292" t="str">
        <f>T("   Togo")</f>
        <v xml:space="preserve">   Togo</v>
      </c>
      <c r="C1292">
        <v>26000000</v>
      </c>
      <c r="D1292">
        <v>18000</v>
      </c>
    </row>
    <row r="1293" spans="1:4" x14ac:dyDescent="0.25">
      <c r="A1293" t="str">
        <f>T("842940")</f>
        <v>842940</v>
      </c>
      <c r="B1293" t="str">
        <f>T("Rouleaux compresseurs et autres compacteuses, autopropulsés")</f>
        <v>Rouleaux compresseurs et autres compacteuses, autopropulsés</v>
      </c>
    </row>
    <row r="1294" spans="1:4" x14ac:dyDescent="0.25">
      <c r="A1294" t="str">
        <f>T("   ZZZ_Monde")</f>
        <v xml:space="preserve">   ZZZ_Monde</v>
      </c>
      <c r="B1294" t="str">
        <f>T("   ZZZ_Monde")</f>
        <v xml:space="preserve">   ZZZ_Monde</v>
      </c>
      <c r="C1294">
        <v>197321812</v>
      </c>
      <c r="D1294">
        <v>174835</v>
      </c>
    </row>
    <row r="1295" spans="1:4" x14ac:dyDescent="0.25">
      <c r="A1295" t="str">
        <f>T("   BF")</f>
        <v xml:space="preserve">   BF</v>
      </c>
      <c r="B1295" t="str">
        <f>T("   Burkina Faso")</f>
        <v xml:space="preserve">   Burkina Faso</v>
      </c>
      <c r="C1295">
        <v>9000000</v>
      </c>
      <c r="D1295">
        <v>17000</v>
      </c>
    </row>
    <row r="1296" spans="1:4" x14ac:dyDescent="0.25">
      <c r="A1296" t="str">
        <f>T("   GH")</f>
        <v xml:space="preserve">   GH</v>
      </c>
      <c r="B1296" t="str">
        <f>T("   Ghana")</f>
        <v xml:space="preserve">   Ghana</v>
      </c>
      <c r="C1296">
        <v>30468880</v>
      </c>
      <c r="D1296">
        <v>95000</v>
      </c>
    </row>
    <row r="1297" spans="1:4" x14ac:dyDescent="0.25">
      <c r="A1297" t="str">
        <f>T("   NG")</f>
        <v xml:space="preserve">   NG</v>
      </c>
      <c r="B1297" t="str">
        <f>T("   Nigéria")</f>
        <v xml:space="preserve">   Nigéria</v>
      </c>
      <c r="C1297">
        <v>46645740</v>
      </c>
      <c r="D1297">
        <v>25637</v>
      </c>
    </row>
    <row r="1298" spans="1:4" x14ac:dyDescent="0.25">
      <c r="A1298" t="str">
        <f>T("   TG")</f>
        <v xml:space="preserve">   TG</v>
      </c>
      <c r="B1298" t="str">
        <f>T("   Togo")</f>
        <v xml:space="preserve">   Togo</v>
      </c>
      <c r="C1298">
        <v>52797116</v>
      </c>
      <c r="D1298">
        <v>16712</v>
      </c>
    </row>
    <row r="1299" spans="1:4" x14ac:dyDescent="0.25">
      <c r="A1299" t="str">
        <f>T("   UG")</f>
        <v xml:space="preserve">   UG</v>
      </c>
      <c r="B1299" t="str">
        <f>T("   Ouganda")</f>
        <v xml:space="preserve">   Ouganda</v>
      </c>
      <c r="C1299">
        <v>58410076</v>
      </c>
      <c r="D1299">
        <v>20486</v>
      </c>
    </row>
    <row r="1300" spans="1:4" x14ac:dyDescent="0.25">
      <c r="A1300" t="str">
        <f>T("842951")</f>
        <v>842951</v>
      </c>
      <c r="B1300" t="str">
        <f>T("Chargeuses et chargeuses-pelleteuses, à chargement frontal, autopropulsées")</f>
        <v>Chargeuses et chargeuses-pelleteuses, à chargement frontal, autopropulsées</v>
      </c>
    </row>
    <row r="1301" spans="1:4" x14ac:dyDescent="0.25">
      <c r="A1301" t="str">
        <f>T("   ZZZ_Monde")</f>
        <v xml:space="preserve">   ZZZ_Monde</v>
      </c>
      <c r="B1301" t="str">
        <f>T("   ZZZ_Monde")</f>
        <v xml:space="preserve">   ZZZ_Monde</v>
      </c>
      <c r="C1301">
        <v>265401964</v>
      </c>
      <c r="D1301">
        <v>76395</v>
      </c>
    </row>
    <row r="1302" spans="1:4" x14ac:dyDescent="0.25">
      <c r="A1302" t="str">
        <f>T("   FR")</f>
        <v xml:space="preserve">   FR</v>
      </c>
      <c r="B1302" t="str">
        <f>T("   France")</f>
        <v xml:space="preserve">   France</v>
      </c>
      <c r="C1302">
        <v>163618727</v>
      </c>
      <c r="D1302">
        <v>43800</v>
      </c>
    </row>
    <row r="1303" spans="1:4" x14ac:dyDescent="0.25">
      <c r="A1303" t="str">
        <f>T("   GA")</f>
        <v xml:space="preserve">   GA</v>
      </c>
      <c r="B1303" t="str">
        <f>T("   Gabon")</f>
        <v xml:space="preserve">   Gabon</v>
      </c>
      <c r="C1303">
        <v>1700000</v>
      </c>
      <c r="D1303">
        <v>1200</v>
      </c>
    </row>
    <row r="1304" spans="1:4" x14ac:dyDescent="0.25">
      <c r="A1304" t="str">
        <f>T("   GH")</f>
        <v xml:space="preserve">   GH</v>
      </c>
      <c r="B1304" t="str">
        <f>T("   Ghana")</f>
        <v xml:space="preserve">   Ghana</v>
      </c>
      <c r="C1304">
        <v>100083237</v>
      </c>
      <c r="D1304">
        <v>31395</v>
      </c>
    </row>
    <row r="1305" spans="1:4" x14ac:dyDescent="0.25">
      <c r="A1305" t="str">
        <f>T("842959")</f>
        <v>842959</v>
      </c>
      <c r="B1305" t="str">
        <f>T("PELLES MÉCANIQUES, EXCAVATEURS, CHARGEUSES ET CHARGEUSES-PELLETEUSES, AUTOPROPULSÉS (SAUF PELLES-MÉCANIQUES DONT LA SUPERSTRUCTURE PEUT EFFECTUER UNE ROTATION DE 360¦ ET SAUF CHARGEUSES À CHARGEMENT FRONTAL)")</f>
        <v>PELLES MÉCANIQUES, EXCAVATEURS, CHARGEUSES ET CHARGEUSES-PELLETEUSES, AUTOPROPULSÉS (SAUF PELLES-MÉCANIQUES DONT LA SUPERSTRUCTURE PEUT EFFECTUER UNE ROTATION DE 360¦ ET SAUF CHARGEUSES À CHARGEMENT FRONTAL)</v>
      </c>
    </row>
    <row r="1306" spans="1:4" x14ac:dyDescent="0.25">
      <c r="A1306" t="str">
        <f>T("   ZZZ_Monde")</f>
        <v xml:space="preserve">   ZZZ_Monde</v>
      </c>
      <c r="B1306" t="str">
        <f>T("   ZZZ_Monde")</f>
        <v xml:space="preserve">   ZZZ_Monde</v>
      </c>
      <c r="C1306">
        <v>311989003</v>
      </c>
      <c r="D1306">
        <v>277187</v>
      </c>
    </row>
    <row r="1307" spans="1:4" x14ac:dyDescent="0.25">
      <c r="A1307" t="str">
        <f>T("   BF")</f>
        <v xml:space="preserve">   BF</v>
      </c>
      <c r="B1307" t="str">
        <f>T("   Burkina Faso")</f>
        <v xml:space="preserve">   Burkina Faso</v>
      </c>
      <c r="C1307">
        <v>53563520</v>
      </c>
      <c r="D1307">
        <v>69433</v>
      </c>
    </row>
    <row r="1308" spans="1:4" x14ac:dyDescent="0.25">
      <c r="A1308" t="str">
        <f>T("   CI")</f>
        <v xml:space="preserve">   CI</v>
      </c>
      <c r="B1308" t="str">
        <f>T("   Côte d'Ivoire")</f>
        <v xml:space="preserve">   Côte d'Ivoire</v>
      </c>
      <c r="C1308">
        <v>24875000</v>
      </c>
      <c r="D1308">
        <v>25000</v>
      </c>
    </row>
    <row r="1309" spans="1:4" x14ac:dyDescent="0.25">
      <c r="A1309" t="str">
        <f>T("   GH")</f>
        <v xml:space="preserve">   GH</v>
      </c>
      <c r="B1309" t="str">
        <f>T("   Ghana")</f>
        <v xml:space="preserve">   Ghana</v>
      </c>
      <c r="C1309">
        <v>127319190</v>
      </c>
      <c r="D1309">
        <v>92800</v>
      </c>
    </row>
    <row r="1310" spans="1:4" x14ac:dyDescent="0.25">
      <c r="A1310" t="str">
        <f>T("   MA")</f>
        <v xml:space="preserve">   MA</v>
      </c>
      <c r="B1310" t="str">
        <f>T("   Maroc")</f>
        <v xml:space="preserve">   Maroc</v>
      </c>
      <c r="C1310">
        <v>75089709</v>
      </c>
      <c r="D1310">
        <v>49600</v>
      </c>
    </row>
    <row r="1311" spans="1:4" x14ac:dyDescent="0.25">
      <c r="A1311" t="str">
        <f>T("   NG")</f>
        <v xml:space="preserve">   NG</v>
      </c>
      <c r="B1311" t="str">
        <f>T("   Nigéria")</f>
        <v xml:space="preserve">   Nigéria</v>
      </c>
      <c r="C1311">
        <v>4141584</v>
      </c>
      <c r="D1311">
        <v>17354</v>
      </c>
    </row>
    <row r="1312" spans="1:4" x14ac:dyDescent="0.25">
      <c r="A1312" t="str">
        <f>T("   TG")</f>
        <v xml:space="preserve">   TG</v>
      </c>
      <c r="B1312" t="str">
        <f>T("   Togo")</f>
        <v xml:space="preserve">   Togo</v>
      </c>
      <c r="C1312">
        <v>27000000</v>
      </c>
      <c r="D1312">
        <v>23000</v>
      </c>
    </row>
    <row r="1313" spans="1:4" x14ac:dyDescent="0.25">
      <c r="A1313" t="str">
        <f>T("843049")</f>
        <v>843049</v>
      </c>
      <c r="B1313" t="str">
        <f>T("Machines de sondage ou de forage de la terre, des minéraux ou des minerais non autopropulsées et non hydrauliques (à l'excl. des machines à creuser les tunnels et autres machines à creuser les galeries, et sauf outillage pour emploi à la main)")</f>
        <v>Machines de sondage ou de forage de la terre, des minéraux ou des minerais non autopropulsées et non hydrauliques (à l'excl. des machines à creuser les tunnels et autres machines à creuser les galeries, et sauf outillage pour emploi à la main)</v>
      </c>
    </row>
    <row r="1314" spans="1:4" x14ac:dyDescent="0.25">
      <c r="A1314" t="str">
        <f>T("   ZZZ_Monde")</f>
        <v xml:space="preserve">   ZZZ_Monde</v>
      </c>
      <c r="B1314" t="str">
        <f>T("   ZZZ_Monde")</f>
        <v xml:space="preserve">   ZZZ_Monde</v>
      </c>
      <c r="C1314">
        <v>400000000</v>
      </c>
      <c r="D1314">
        <v>50000</v>
      </c>
    </row>
    <row r="1315" spans="1:4" x14ac:dyDescent="0.25">
      <c r="A1315" t="str">
        <f>T("   CI")</f>
        <v xml:space="preserve">   CI</v>
      </c>
      <c r="B1315" t="str">
        <f>T("   Côte d'Ivoire")</f>
        <v xml:space="preserve">   Côte d'Ivoire</v>
      </c>
      <c r="C1315">
        <v>400000000</v>
      </c>
      <c r="D1315">
        <v>50000</v>
      </c>
    </row>
    <row r="1316" spans="1:4" x14ac:dyDescent="0.25">
      <c r="A1316" t="str">
        <f>T("843061")</f>
        <v>843061</v>
      </c>
      <c r="B1316" t="str">
        <f>T("Machines et appareils à tasser ou à compacter, non autopropulsés (sauf outillage pour emploi à la main)")</f>
        <v>Machines et appareils à tasser ou à compacter, non autopropulsés (sauf outillage pour emploi à la main)</v>
      </c>
    </row>
    <row r="1317" spans="1:4" x14ac:dyDescent="0.25">
      <c r="A1317" t="str">
        <f>T("   ZZZ_Monde")</f>
        <v xml:space="preserve">   ZZZ_Monde</v>
      </c>
      <c r="B1317" t="str">
        <f>T("   ZZZ_Monde")</f>
        <v xml:space="preserve">   ZZZ_Monde</v>
      </c>
      <c r="C1317">
        <v>20000000</v>
      </c>
      <c r="D1317">
        <v>45000</v>
      </c>
    </row>
    <row r="1318" spans="1:4" x14ac:dyDescent="0.25">
      <c r="A1318" t="str">
        <f>T("   NG")</f>
        <v xml:space="preserve">   NG</v>
      </c>
      <c r="B1318" t="str">
        <f>T("   Nigéria")</f>
        <v xml:space="preserve">   Nigéria</v>
      </c>
      <c r="C1318">
        <v>20000000</v>
      </c>
      <c r="D1318">
        <v>45000</v>
      </c>
    </row>
    <row r="1319" spans="1:4" x14ac:dyDescent="0.25">
      <c r="A1319" t="str">
        <f>T("843141")</f>
        <v>843141</v>
      </c>
      <c r="B1319" t="str">
        <f>T("Godets, bennes, bennes-preneuses, pelles, grappins et pinces pour machines et appareils du n° 8426, 8429 ou 8430")</f>
        <v>Godets, bennes, bennes-preneuses, pelles, grappins et pinces pour machines et appareils du n° 8426, 8429 ou 8430</v>
      </c>
    </row>
    <row r="1320" spans="1:4" x14ac:dyDescent="0.25">
      <c r="A1320" t="str">
        <f>T("   ZZZ_Monde")</f>
        <v xml:space="preserve">   ZZZ_Monde</v>
      </c>
      <c r="B1320" t="str">
        <f>T("   ZZZ_Monde")</f>
        <v xml:space="preserve">   ZZZ_Monde</v>
      </c>
      <c r="C1320">
        <v>369201</v>
      </c>
      <c r="D1320">
        <v>26</v>
      </c>
    </row>
    <row r="1321" spans="1:4" x14ac:dyDescent="0.25">
      <c r="A1321" t="str">
        <f>T("   CI")</f>
        <v xml:space="preserve">   CI</v>
      </c>
      <c r="B1321" t="str">
        <f>T("   Côte d'Ivoire")</f>
        <v xml:space="preserve">   Côte d'Ivoire</v>
      </c>
      <c r="C1321">
        <v>369201</v>
      </c>
      <c r="D1321">
        <v>26</v>
      </c>
    </row>
    <row r="1322" spans="1:4" x14ac:dyDescent="0.25">
      <c r="A1322" t="str">
        <f>T("843149")</f>
        <v>843149</v>
      </c>
      <c r="B1322" t="str">
        <f>T("Parties de machines et appareils du n° 8426, 8429 ou 8430, n.d.a.")</f>
        <v>Parties de machines et appareils du n° 8426, 8429 ou 8430, n.d.a.</v>
      </c>
    </row>
    <row r="1323" spans="1:4" x14ac:dyDescent="0.25">
      <c r="A1323" t="str">
        <f>T("   ZZZ_Monde")</f>
        <v xml:space="preserve">   ZZZ_Monde</v>
      </c>
      <c r="B1323" t="str">
        <f>T("   ZZZ_Monde")</f>
        <v xml:space="preserve">   ZZZ_Monde</v>
      </c>
      <c r="C1323">
        <v>165849094</v>
      </c>
      <c r="D1323">
        <v>116452</v>
      </c>
    </row>
    <row r="1324" spans="1:4" x14ac:dyDescent="0.25">
      <c r="A1324" t="str">
        <f>T("   AU")</f>
        <v xml:space="preserve">   AU</v>
      </c>
      <c r="B1324" t="str">
        <f>T("   Australie")</f>
        <v xml:space="preserve">   Australie</v>
      </c>
      <c r="C1324">
        <v>3000000</v>
      </c>
      <c r="D1324">
        <v>5000</v>
      </c>
    </row>
    <row r="1325" spans="1:4" x14ac:dyDescent="0.25">
      <c r="A1325" t="str">
        <f>T("   BE")</f>
        <v xml:space="preserve">   BE</v>
      </c>
      <c r="B1325" t="str">
        <f>T("   Belgique")</f>
        <v xml:space="preserve">   Belgique</v>
      </c>
      <c r="C1325">
        <v>41976355</v>
      </c>
      <c r="D1325">
        <v>26840</v>
      </c>
    </row>
    <row r="1326" spans="1:4" x14ac:dyDescent="0.25">
      <c r="A1326" t="str">
        <f>T("   LB")</f>
        <v xml:space="preserve">   LB</v>
      </c>
      <c r="B1326" t="str">
        <f>T("   Liban")</f>
        <v xml:space="preserve">   Liban</v>
      </c>
      <c r="C1326">
        <v>3000000</v>
      </c>
      <c r="D1326">
        <v>15000</v>
      </c>
    </row>
    <row r="1327" spans="1:4" x14ac:dyDescent="0.25">
      <c r="A1327" t="str">
        <f>T("   NL")</f>
        <v xml:space="preserve">   NL</v>
      </c>
      <c r="B1327" t="str">
        <f>T("   Pays-bas")</f>
        <v xml:space="preserve">   Pays-bas</v>
      </c>
      <c r="C1327">
        <v>15000000</v>
      </c>
      <c r="D1327">
        <v>20000</v>
      </c>
    </row>
    <row r="1328" spans="1:4" x14ac:dyDescent="0.25">
      <c r="A1328" t="str">
        <f>T("   TG")</f>
        <v xml:space="preserve">   TG</v>
      </c>
      <c r="B1328" t="str">
        <f>T("   Togo")</f>
        <v xml:space="preserve">   Togo</v>
      </c>
      <c r="C1328">
        <v>102872739</v>
      </c>
      <c r="D1328">
        <v>49612</v>
      </c>
    </row>
    <row r="1329" spans="1:4" x14ac:dyDescent="0.25">
      <c r="A1329" t="str">
        <f>T("843290")</f>
        <v>843290</v>
      </c>
      <c r="B1329" t="str">
        <f>T("Parties de machines, appareils et engins agricoles, sylvicoles ou horticoles pour la préparation ou le travail du sol ou pour la culture, ainsi que de rouleaux pour pelouses ou terrains de sport, n.d.a.")</f>
        <v>Parties de machines, appareils et engins agricoles, sylvicoles ou horticoles pour la préparation ou le travail du sol ou pour la culture, ainsi que de rouleaux pour pelouses ou terrains de sport, n.d.a.</v>
      </c>
    </row>
    <row r="1330" spans="1:4" x14ac:dyDescent="0.25">
      <c r="A1330" t="str">
        <f>T("   ZZZ_Monde")</f>
        <v xml:space="preserve">   ZZZ_Monde</v>
      </c>
      <c r="B1330" t="str">
        <f>T("   ZZZ_Monde")</f>
        <v xml:space="preserve">   ZZZ_Monde</v>
      </c>
      <c r="C1330">
        <v>4525000</v>
      </c>
      <c r="D1330">
        <v>15000</v>
      </c>
    </row>
    <row r="1331" spans="1:4" x14ac:dyDescent="0.25">
      <c r="A1331" t="str">
        <f>T("   DE")</f>
        <v xml:space="preserve">   DE</v>
      </c>
      <c r="B1331" t="str">
        <f>T("   Allemagne")</f>
        <v xml:space="preserve">   Allemagne</v>
      </c>
      <c r="C1331">
        <v>4525000</v>
      </c>
      <c r="D1331">
        <v>15000</v>
      </c>
    </row>
    <row r="1332" spans="1:4" x14ac:dyDescent="0.25">
      <c r="A1332" t="str">
        <f>T("843880")</f>
        <v>843880</v>
      </c>
      <c r="B1332" t="str">
        <f>T("Machines et appareils pour la préparation ou la fabrication industrielles d'aliments ou de boissons, n.d.a.")</f>
        <v>Machines et appareils pour la préparation ou la fabrication industrielles d'aliments ou de boissons, n.d.a.</v>
      </c>
    </row>
    <row r="1333" spans="1:4" x14ac:dyDescent="0.25">
      <c r="A1333" t="str">
        <f>T("   ZZZ_Monde")</f>
        <v xml:space="preserve">   ZZZ_Monde</v>
      </c>
      <c r="B1333" t="str">
        <f>T("   ZZZ_Monde")</f>
        <v xml:space="preserve">   ZZZ_Monde</v>
      </c>
      <c r="C1333">
        <v>4000000</v>
      </c>
      <c r="D1333">
        <v>20000</v>
      </c>
    </row>
    <row r="1334" spans="1:4" x14ac:dyDescent="0.25">
      <c r="A1334" t="str">
        <f>T("   SO")</f>
        <v xml:space="preserve">   SO</v>
      </c>
      <c r="B1334" t="str">
        <f>T("   Somalie")</f>
        <v xml:space="preserve">   Somalie</v>
      </c>
      <c r="C1334">
        <v>4000000</v>
      </c>
      <c r="D1334">
        <v>20000</v>
      </c>
    </row>
    <row r="1335" spans="1:4" x14ac:dyDescent="0.25">
      <c r="A1335" t="str">
        <f>T("844319")</f>
        <v>844319</v>
      </c>
      <c r="B1335" t="str">
        <f>T("MACHINES ET APPAREILS SERVANT À L'IMPRESSION AU MOYEN DE PLANCHES, CYLINDRES ET AUTRES ORGANES IMPRIMANTS DU N° 8442 (À L'EXCL. DES DUPLICATEURS HECTOGRAPHIQUES OU À STENCILS, DES MACHINES À IMPRIMER LES ADRESSES ET AUTRES MACHINES DE BUREAU À IMPRIMER DU")</f>
        <v>MACHINES ET APPAREILS SERVANT À L'IMPRESSION AU MOYEN DE PLANCHES, CYLINDRES ET AUTRES ORGANES IMPRIMANTS DU N° 8442 (À L'EXCL. DES DUPLICATEURS HECTOGRAPHIQUES OU À STENCILS, DES MACHINES À IMPRIMER LES ADRESSES ET AUTRES MACHINES DE BUREAU À IMPRIMER DU</v>
      </c>
    </row>
    <row r="1336" spans="1:4" x14ac:dyDescent="0.25">
      <c r="A1336" t="str">
        <f>T("   ZZZ_Monde")</f>
        <v xml:space="preserve">   ZZZ_Monde</v>
      </c>
      <c r="B1336" t="str">
        <f>T("   ZZZ_Monde")</f>
        <v xml:space="preserve">   ZZZ_Monde</v>
      </c>
      <c r="C1336">
        <v>2000000</v>
      </c>
      <c r="D1336">
        <v>820</v>
      </c>
    </row>
    <row r="1337" spans="1:4" x14ac:dyDescent="0.25">
      <c r="A1337" t="str">
        <f>T("   GH")</f>
        <v xml:space="preserve">   GH</v>
      </c>
      <c r="B1337" t="str">
        <f>T("   Ghana")</f>
        <v xml:space="preserve">   Ghana</v>
      </c>
      <c r="C1337">
        <v>2000000</v>
      </c>
      <c r="D1337">
        <v>820</v>
      </c>
    </row>
    <row r="1338" spans="1:4" x14ac:dyDescent="0.25">
      <c r="A1338" t="str">
        <f>T("844359")</f>
        <v>844359</v>
      </c>
      <c r="B1338" t="str">
        <f>T("Machines et appareils servant à l'impression au moyen de caractères d'imprimerie, clichés, planches, cylindres et autres organes imprimants du n° 8442 (à l'excl. des duplicateurs hectographiques ou à stencils, des machines à imprimer les adresses et autre")</f>
        <v>Machines et appareils servant à l'impression au moyen de caractères d'imprimerie, clichés, planches, cylindres et autres organes imprimants du n° 8442 (à l'excl. des duplicateurs hectographiques ou à stencils, des machines à imprimer les adresses et autre</v>
      </c>
    </row>
    <row r="1339" spans="1:4" x14ac:dyDescent="0.25">
      <c r="A1339" t="str">
        <f>T("   ZZZ_Monde")</f>
        <v xml:space="preserve">   ZZZ_Monde</v>
      </c>
      <c r="B1339" t="str">
        <f>T("   ZZZ_Monde")</f>
        <v xml:space="preserve">   ZZZ_Monde</v>
      </c>
      <c r="C1339">
        <v>650000</v>
      </c>
      <c r="D1339">
        <v>800</v>
      </c>
    </row>
    <row r="1340" spans="1:4" x14ac:dyDescent="0.25">
      <c r="A1340" t="str">
        <f>T("   GN")</f>
        <v xml:space="preserve">   GN</v>
      </c>
      <c r="B1340" t="str">
        <f>T("   Guinée")</f>
        <v xml:space="preserve">   Guinée</v>
      </c>
      <c r="C1340">
        <v>650000</v>
      </c>
      <c r="D1340">
        <v>800</v>
      </c>
    </row>
    <row r="1341" spans="1:4" x14ac:dyDescent="0.25">
      <c r="A1341" t="str">
        <f>T("845929")</f>
        <v>845929</v>
      </c>
      <c r="B1341" t="str">
        <f>T("MACHINES À PERCER, POUR LE TRAVAIL DES MÉTAUX (À L'EXCL. DES MACHINES À COMMANDE NUMÉRIQUE, DES UNITÉS D'USINAGE À GLISSIÈRES ET DES MACHINES MUES À LA MAIN) [01/01/1988-31/12/1994: MACHINES A PERCER LES METAUX PAR ENLEVEMENT DE MATIÈRES (AUTRES QU'A COMM")</f>
        <v>MACHINES À PERCER, POUR LE TRAVAIL DES MÉTAUX (À L'EXCL. DES MACHINES À COMMANDE NUMÉRIQUE, DES UNITÉS D'USINAGE À GLISSIÈRES ET DES MACHINES MUES À LA MAIN) [01/01/1988-31/12/1994: MACHINES A PERCER LES METAUX PAR ENLEVEMENT DE MATIÈRES (AUTRES QU'A COMM</v>
      </c>
    </row>
    <row r="1342" spans="1:4" x14ac:dyDescent="0.25">
      <c r="A1342" t="str">
        <f>T("   ZZZ_Monde")</f>
        <v xml:space="preserve">   ZZZ_Monde</v>
      </c>
      <c r="B1342" t="str">
        <f>T("   ZZZ_Monde")</f>
        <v xml:space="preserve">   ZZZ_Monde</v>
      </c>
      <c r="C1342">
        <v>7358000</v>
      </c>
      <c r="D1342">
        <v>10000</v>
      </c>
    </row>
    <row r="1343" spans="1:4" x14ac:dyDescent="0.25">
      <c r="A1343" t="str">
        <f>T("   GH")</f>
        <v xml:space="preserve">   GH</v>
      </c>
      <c r="B1343" t="str">
        <f>T("   Ghana")</f>
        <v xml:space="preserve">   Ghana</v>
      </c>
      <c r="C1343">
        <v>7358000</v>
      </c>
      <c r="D1343">
        <v>10000</v>
      </c>
    </row>
    <row r="1344" spans="1:4" x14ac:dyDescent="0.25">
      <c r="A1344" t="str">
        <f>T("846592")</f>
        <v>846592</v>
      </c>
      <c r="B1344" t="str">
        <f>T("Machines à dégauchir ou à raboter; machines à fraiser ou à moulurer, pour le travail du bois, des matières plastiques dures, etc. (autres que les machines pour emploi à la main et les machines pouvant effectuer différents types d'opérations d'usinage sans")</f>
        <v>Machines à dégauchir ou à raboter; machines à fraiser ou à moulurer, pour le travail du bois, des matières plastiques dures, etc. (autres que les machines pour emploi à la main et les machines pouvant effectuer différents types d'opérations d'usinage sans</v>
      </c>
    </row>
    <row r="1345" spans="1:4" x14ac:dyDescent="0.25">
      <c r="A1345" t="str">
        <f>T("   ZZZ_Monde")</f>
        <v xml:space="preserve">   ZZZ_Monde</v>
      </c>
      <c r="B1345" t="str">
        <f>T("   ZZZ_Monde")</f>
        <v xml:space="preserve">   ZZZ_Monde</v>
      </c>
      <c r="C1345">
        <v>8200000</v>
      </c>
      <c r="D1345">
        <v>30000</v>
      </c>
    </row>
    <row r="1346" spans="1:4" x14ac:dyDescent="0.25">
      <c r="A1346" t="str">
        <f>T("   GQ")</f>
        <v xml:space="preserve">   GQ</v>
      </c>
      <c r="B1346" t="str">
        <f>T("   Guinée Equatoriale")</f>
        <v xml:space="preserve">   Guinée Equatoriale</v>
      </c>
      <c r="C1346">
        <v>8200000</v>
      </c>
      <c r="D1346">
        <v>30000</v>
      </c>
    </row>
    <row r="1347" spans="1:4" x14ac:dyDescent="0.25">
      <c r="A1347" t="str">
        <f>T("846719")</f>
        <v>846719</v>
      </c>
      <c r="B1347" t="str">
        <f>T("OUTILS PNEUMATIQUES, POUR EMPLOI À LA MAIN (À L'EXCL. DES OUTILS ROTATIFS) [01/01/1988-31/12/1994: OUTILS PNEUMATIQUES POUR EMPLOI A LA MAIN, AUTRES QUE ROTATIFS]")</f>
        <v>OUTILS PNEUMATIQUES, POUR EMPLOI À LA MAIN (À L'EXCL. DES OUTILS ROTATIFS) [01/01/1988-31/12/1994: OUTILS PNEUMATIQUES POUR EMPLOI A LA MAIN, AUTRES QUE ROTATIFS]</v>
      </c>
    </row>
    <row r="1348" spans="1:4" x14ac:dyDescent="0.25">
      <c r="A1348" t="str">
        <f>T("   ZZZ_Monde")</f>
        <v xml:space="preserve">   ZZZ_Monde</v>
      </c>
      <c r="B1348" t="str">
        <f>T("   ZZZ_Monde")</f>
        <v xml:space="preserve">   ZZZ_Monde</v>
      </c>
      <c r="C1348">
        <v>966796</v>
      </c>
      <c r="D1348">
        <v>69</v>
      </c>
    </row>
    <row r="1349" spans="1:4" x14ac:dyDescent="0.25">
      <c r="A1349" t="str">
        <f>T("   CI")</f>
        <v xml:space="preserve">   CI</v>
      </c>
      <c r="B1349" t="str">
        <f>T("   Côte d'Ivoire")</f>
        <v xml:space="preserve">   Côte d'Ivoire</v>
      </c>
      <c r="C1349">
        <v>966796</v>
      </c>
      <c r="D1349">
        <v>69</v>
      </c>
    </row>
    <row r="1350" spans="1:4" x14ac:dyDescent="0.25">
      <c r="A1350" t="str">
        <f>T("846799")</f>
        <v>846799</v>
      </c>
      <c r="B1350" t="str">
        <f>T("Parties d'outils pour emploi à la main, hydrauliques ou à moteur électrique ou non électrique incorporé, n.d.a.")</f>
        <v>Parties d'outils pour emploi à la main, hydrauliques ou à moteur électrique ou non électrique incorporé, n.d.a.</v>
      </c>
    </row>
    <row r="1351" spans="1:4" x14ac:dyDescent="0.25">
      <c r="A1351" t="str">
        <f>T("   ZZZ_Monde")</f>
        <v xml:space="preserve">   ZZZ_Monde</v>
      </c>
      <c r="B1351" t="str">
        <f>T("   ZZZ_Monde")</f>
        <v xml:space="preserve">   ZZZ_Monde</v>
      </c>
      <c r="C1351">
        <v>5110584</v>
      </c>
      <c r="D1351">
        <v>387</v>
      </c>
    </row>
    <row r="1352" spans="1:4" x14ac:dyDescent="0.25">
      <c r="A1352" t="str">
        <f>T("   FR")</f>
        <v xml:space="preserve">   FR</v>
      </c>
      <c r="B1352" t="str">
        <f>T("   France")</f>
        <v xml:space="preserve">   France</v>
      </c>
      <c r="C1352">
        <v>5110584</v>
      </c>
      <c r="D1352">
        <v>387</v>
      </c>
    </row>
    <row r="1353" spans="1:4" x14ac:dyDescent="0.25">
      <c r="A1353" t="str">
        <f>T("846810")</f>
        <v>846810</v>
      </c>
      <c r="B1353" t="str">
        <f>T("Chalumeaux guidés à la main pour le brasage ou le soudage aux gaz")</f>
        <v>Chalumeaux guidés à la main pour le brasage ou le soudage aux gaz</v>
      </c>
    </row>
    <row r="1354" spans="1:4" x14ac:dyDescent="0.25">
      <c r="A1354" t="str">
        <f>T("   ZZZ_Monde")</f>
        <v xml:space="preserve">   ZZZ_Monde</v>
      </c>
      <c r="B1354" t="str">
        <f>T("   ZZZ_Monde")</f>
        <v xml:space="preserve">   ZZZ_Monde</v>
      </c>
      <c r="C1354">
        <v>385911</v>
      </c>
      <c r="D1354">
        <v>28</v>
      </c>
    </row>
    <row r="1355" spans="1:4" x14ac:dyDescent="0.25">
      <c r="A1355" t="str">
        <f>T("   CI")</f>
        <v xml:space="preserve">   CI</v>
      </c>
      <c r="B1355" t="str">
        <f>T("   Côte d'Ivoire")</f>
        <v xml:space="preserve">   Côte d'Ivoire</v>
      </c>
      <c r="C1355">
        <v>385911</v>
      </c>
      <c r="D1355">
        <v>28</v>
      </c>
    </row>
    <row r="1356" spans="1:4" x14ac:dyDescent="0.25">
      <c r="A1356" t="str">
        <f>T("847110")</f>
        <v>847110</v>
      </c>
      <c r="B1356" t="str">
        <f>T("Machines automatiques de traitement de l'information, analogiques ou hybrides")</f>
        <v>Machines automatiques de traitement de l'information, analogiques ou hybrides</v>
      </c>
    </row>
    <row r="1357" spans="1:4" x14ac:dyDescent="0.25">
      <c r="A1357" t="str">
        <f>T("   ZZZ_Monde")</f>
        <v xml:space="preserve">   ZZZ_Monde</v>
      </c>
      <c r="B1357" t="str">
        <f>T("   ZZZ_Monde")</f>
        <v xml:space="preserve">   ZZZ_Monde</v>
      </c>
      <c r="C1357">
        <v>6947929</v>
      </c>
      <c r="D1357">
        <v>140</v>
      </c>
    </row>
    <row r="1358" spans="1:4" x14ac:dyDescent="0.25">
      <c r="A1358" t="str">
        <f>T("   CH")</f>
        <v xml:space="preserve">   CH</v>
      </c>
      <c r="B1358" t="str">
        <f>T("   Suisse")</f>
        <v xml:space="preserve">   Suisse</v>
      </c>
      <c r="C1358">
        <v>6403482</v>
      </c>
      <c r="D1358">
        <v>80</v>
      </c>
    </row>
    <row r="1359" spans="1:4" x14ac:dyDescent="0.25">
      <c r="A1359" t="str">
        <f>T("   GH")</f>
        <v xml:space="preserve">   GH</v>
      </c>
      <c r="B1359" t="str">
        <f>T("   Ghana")</f>
        <v xml:space="preserve">   Ghana</v>
      </c>
      <c r="C1359">
        <v>544447</v>
      </c>
      <c r="D1359">
        <v>60</v>
      </c>
    </row>
    <row r="1360" spans="1:4" x14ac:dyDescent="0.25">
      <c r="A1360" t="str">
        <f>T("847290")</f>
        <v>847290</v>
      </c>
      <c r="B1360" t="str">
        <f>T("Machines et appareils de bureau, n.d.a.")</f>
        <v>Machines et appareils de bureau, n.d.a.</v>
      </c>
    </row>
    <row r="1361" spans="1:4" x14ac:dyDescent="0.25">
      <c r="A1361" t="str">
        <f>T("   ZZZ_Monde")</f>
        <v xml:space="preserve">   ZZZ_Monde</v>
      </c>
      <c r="B1361" t="str">
        <f>T("   ZZZ_Monde")</f>
        <v xml:space="preserve">   ZZZ_Monde</v>
      </c>
      <c r="C1361">
        <v>1500000</v>
      </c>
      <c r="D1361">
        <v>190</v>
      </c>
    </row>
    <row r="1362" spans="1:4" x14ac:dyDescent="0.25">
      <c r="A1362" t="str">
        <f>T("   BF")</f>
        <v xml:space="preserve">   BF</v>
      </c>
      <c r="B1362" t="str">
        <f>T("   Burkina Faso")</f>
        <v xml:space="preserve">   Burkina Faso</v>
      </c>
      <c r="C1362">
        <v>1500000</v>
      </c>
      <c r="D1362">
        <v>190</v>
      </c>
    </row>
    <row r="1363" spans="1:4" x14ac:dyDescent="0.25">
      <c r="A1363" t="str">
        <f>T("847410")</f>
        <v>847410</v>
      </c>
      <c r="B1363" t="str">
        <f>T("Machines et appareils à trier, cribler, séparer ou laver les matières minérales solides, y.c. -les poudres et les pâtes- (à l'excl. des centrifugeuses et des filtres-presses)")</f>
        <v>Machines et appareils à trier, cribler, séparer ou laver les matières minérales solides, y.c. -les poudres et les pâtes- (à l'excl. des centrifugeuses et des filtres-presses)</v>
      </c>
    </row>
    <row r="1364" spans="1:4" x14ac:dyDescent="0.25">
      <c r="A1364" t="str">
        <f>T("   ZZZ_Monde")</f>
        <v xml:space="preserve">   ZZZ_Monde</v>
      </c>
      <c r="B1364" t="str">
        <f>T("   ZZZ_Monde")</f>
        <v xml:space="preserve">   ZZZ_Monde</v>
      </c>
      <c r="C1364">
        <v>1198375</v>
      </c>
      <c r="D1364">
        <v>4000</v>
      </c>
    </row>
    <row r="1365" spans="1:4" x14ac:dyDescent="0.25">
      <c r="A1365" t="str">
        <f>T("   GH")</f>
        <v xml:space="preserve">   GH</v>
      </c>
      <c r="B1365" t="str">
        <f>T("   Ghana")</f>
        <v xml:space="preserve">   Ghana</v>
      </c>
      <c r="C1365">
        <v>1198375</v>
      </c>
      <c r="D1365">
        <v>4000</v>
      </c>
    </row>
    <row r="1366" spans="1:4" x14ac:dyDescent="0.25">
      <c r="A1366" t="str">
        <f>T("847420")</f>
        <v>847420</v>
      </c>
      <c r="B1366" t="str">
        <f>T("Machines et appareils à concasser, broyer ou pulvériser les matières minérales solides")</f>
        <v>Machines et appareils à concasser, broyer ou pulvériser les matières minérales solides</v>
      </c>
    </row>
    <row r="1367" spans="1:4" x14ac:dyDescent="0.25">
      <c r="A1367" t="str">
        <f>T("   ZZZ_Monde")</f>
        <v xml:space="preserve">   ZZZ_Monde</v>
      </c>
      <c r="B1367" t="str">
        <f>T("   ZZZ_Monde")</f>
        <v xml:space="preserve">   ZZZ_Monde</v>
      </c>
      <c r="C1367">
        <v>13415537</v>
      </c>
      <c r="D1367">
        <v>7307</v>
      </c>
    </row>
    <row r="1368" spans="1:4" x14ac:dyDescent="0.25">
      <c r="A1368" t="str">
        <f>T("   UG")</f>
        <v xml:space="preserve">   UG</v>
      </c>
      <c r="B1368" t="str">
        <f>T("   Ouganda")</f>
        <v xml:space="preserve">   Ouganda</v>
      </c>
      <c r="C1368">
        <v>13415537</v>
      </c>
      <c r="D1368">
        <v>7307</v>
      </c>
    </row>
    <row r="1369" spans="1:4" x14ac:dyDescent="0.25">
      <c r="A1369" t="str">
        <f>T("847431")</f>
        <v>847431</v>
      </c>
      <c r="B1369" t="str">
        <f>T("Bétonnières et appareils à gâcher le ciment (sauf montés sur wagons de chemins de fer ou sur châssis de véhicules automobiles)")</f>
        <v>Bétonnières et appareils à gâcher le ciment (sauf montés sur wagons de chemins de fer ou sur châssis de véhicules automobiles)</v>
      </c>
    </row>
    <row r="1370" spans="1:4" x14ac:dyDescent="0.25">
      <c r="A1370" t="str">
        <f>T("   ZZZ_Monde")</f>
        <v xml:space="preserve">   ZZZ_Monde</v>
      </c>
      <c r="B1370" t="str">
        <f>T("   ZZZ_Monde")</f>
        <v xml:space="preserve">   ZZZ_Monde</v>
      </c>
      <c r="C1370">
        <v>4707050</v>
      </c>
      <c r="D1370">
        <v>10500</v>
      </c>
    </row>
    <row r="1371" spans="1:4" x14ac:dyDescent="0.25">
      <c r="A1371" t="str">
        <f>T("   NE")</f>
        <v xml:space="preserve">   NE</v>
      </c>
      <c r="B1371" t="str">
        <f>T("   Niger")</f>
        <v xml:space="preserve">   Niger</v>
      </c>
      <c r="C1371">
        <v>4707050</v>
      </c>
      <c r="D1371">
        <v>10500</v>
      </c>
    </row>
    <row r="1372" spans="1:4" x14ac:dyDescent="0.25">
      <c r="A1372" t="str">
        <f>T("847439")</f>
        <v>847439</v>
      </c>
      <c r="B1372" t="str">
        <f>T("Machines et appareils à mélanger ou à malaxer les matières minérales solides, y.c. -les poudres et les pâtes- (sauf bétonnières et appareils à gâcher le ciment, machines à mélanger les matières minérales au bitume et sauf calandres)")</f>
        <v>Machines et appareils à mélanger ou à malaxer les matières minérales solides, y.c. -les poudres et les pâtes- (sauf bétonnières et appareils à gâcher le ciment, machines à mélanger les matières minérales au bitume et sauf calandres)</v>
      </c>
    </row>
    <row r="1373" spans="1:4" x14ac:dyDescent="0.25">
      <c r="A1373" t="str">
        <f>T("   ZZZ_Monde")</f>
        <v xml:space="preserve">   ZZZ_Monde</v>
      </c>
      <c r="B1373" t="str">
        <f>T("   ZZZ_Monde")</f>
        <v xml:space="preserve">   ZZZ_Monde</v>
      </c>
      <c r="C1373">
        <v>20215000</v>
      </c>
      <c r="D1373">
        <v>77341</v>
      </c>
    </row>
    <row r="1374" spans="1:4" x14ac:dyDescent="0.25">
      <c r="A1374" t="str">
        <f>T("   CI")</f>
        <v xml:space="preserve">   CI</v>
      </c>
      <c r="B1374" t="str">
        <f>T("   Côte d'Ivoire")</f>
        <v xml:space="preserve">   Côte d'Ivoire</v>
      </c>
      <c r="C1374">
        <v>625000</v>
      </c>
      <c r="D1374">
        <v>3000</v>
      </c>
    </row>
    <row r="1375" spans="1:4" x14ac:dyDescent="0.25">
      <c r="A1375" t="str">
        <f>T("   MR")</f>
        <v xml:space="preserve">   MR</v>
      </c>
      <c r="B1375" t="str">
        <f>T("   Mauritanie")</f>
        <v xml:space="preserve">   Mauritanie</v>
      </c>
      <c r="C1375">
        <v>14000000</v>
      </c>
      <c r="D1375">
        <v>20500</v>
      </c>
    </row>
    <row r="1376" spans="1:4" x14ac:dyDescent="0.25">
      <c r="A1376" t="str">
        <f>T("   NE")</f>
        <v xml:space="preserve">   NE</v>
      </c>
      <c r="B1376" t="str">
        <f>T("   Niger")</f>
        <v xml:space="preserve">   Niger</v>
      </c>
      <c r="C1376">
        <v>5590000</v>
      </c>
      <c r="D1376">
        <v>53841</v>
      </c>
    </row>
    <row r="1377" spans="1:4" x14ac:dyDescent="0.25">
      <c r="A1377" t="str">
        <f>T("847490")</f>
        <v>847490</v>
      </c>
      <c r="B1377" t="str">
        <f>T("Parties des machines et appareils pour le travail des matières minérales du n° 8474, n.d.a.")</f>
        <v>Parties des machines et appareils pour le travail des matières minérales du n° 8474, n.d.a.</v>
      </c>
    </row>
    <row r="1378" spans="1:4" x14ac:dyDescent="0.25">
      <c r="A1378" t="str">
        <f>T("   ZZZ_Monde")</f>
        <v xml:space="preserve">   ZZZ_Monde</v>
      </c>
      <c r="B1378" t="str">
        <f>T("   ZZZ_Monde")</f>
        <v xml:space="preserve">   ZZZ_Monde</v>
      </c>
      <c r="C1378">
        <v>4753635</v>
      </c>
      <c r="D1378">
        <v>19227</v>
      </c>
    </row>
    <row r="1379" spans="1:4" x14ac:dyDescent="0.25">
      <c r="A1379" t="str">
        <f>T("   NG")</f>
        <v xml:space="preserve">   NG</v>
      </c>
      <c r="B1379" t="str">
        <f>T("   Nigéria")</f>
        <v xml:space="preserve">   Nigéria</v>
      </c>
      <c r="C1379">
        <v>2636425</v>
      </c>
      <c r="D1379">
        <v>18000</v>
      </c>
    </row>
    <row r="1380" spans="1:4" x14ac:dyDescent="0.25">
      <c r="A1380" t="str">
        <f>T("   UG")</f>
        <v xml:space="preserve">   UG</v>
      </c>
      <c r="B1380" t="str">
        <f>T("   Ouganda")</f>
        <v xml:space="preserve">   Ouganda</v>
      </c>
      <c r="C1380">
        <v>2117210</v>
      </c>
      <c r="D1380">
        <v>1227</v>
      </c>
    </row>
    <row r="1381" spans="1:4" x14ac:dyDescent="0.25">
      <c r="A1381" t="str">
        <f>T("847910")</f>
        <v>847910</v>
      </c>
      <c r="B1381" t="str">
        <f>T("Machines et appareils pour les travaux publics, le bâtiment ou les travaux analogues, n.d.a.")</f>
        <v>Machines et appareils pour les travaux publics, le bâtiment ou les travaux analogues, n.d.a.</v>
      </c>
    </row>
    <row r="1382" spans="1:4" x14ac:dyDescent="0.25">
      <c r="A1382" t="str">
        <f>T("   ZZZ_Monde")</f>
        <v xml:space="preserve">   ZZZ_Monde</v>
      </c>
      <c r="B1382" t="str">
        <f>T("   ZZZ_Monde")</f>
        <v xml:space="preserve">   ZZZ_Monde</v>
      </c>
      <c r="C1382">
        <v>140510428</v>
      </c>
      <c r="D1382">
        <v>37300</v>
      </c>
    </row>
    <row r="1383" spans="1:4" x14ac:dyDescent="0.25">
      <c r="A1383" t="str">
        <f>T("   KE")</f>
        <v xml:space="preserve">   KE</v>
      </c>
      <c r="B1383" t="str">
        <f>T("   Kenya")</f>
        <v xml:space="preserve">   Kenya</v>
      </c>
      <c r="C1383">
        <v>21314240</v>
      </c>
      <c r="D1383">
        <v>2300</v>
      </c>
    </row>
    <row r="1384" spans="1:4" x14ac:dyDescent="0.25">
      <c r="A1384" t="str">
        <f>T("   NE")</f>
        <v xml:space="preserve">   NE</v>
      </c>
      <c r="B1384" t="str">
        <f>T("   Niger")</f>
        <v xml:space="preserve">   Niger</v>
      </c>
      <c r="C1384">
        <v>114315388</v>
      </c>
      <c r="D1384">
        <v>23000</v>
      </c>
    </row>
    <row r="1385" spans="1:4" x14ac:dyDescent="0.25">
      <c r="A1385" t="str">
        <f>T("   NG")</f>
        <v xml:space="preserve">   NG</v>
      </c>
      <c r="B1385" t="str">
        <f>T("   Nigéria")</f>
        <v xml:space="preserve">   Nigéria</v>
      </c>
      <c r="C1385">
        <v>4880800</v>
      </c>
      <c r="D1385">
        <v>12000</v>
      </c>
    </row>
    <row r="1386" spans="1:4" x14ac:dyDescent="0.25">
      <c r="A1386" t="str">
        <f>T("847982")</f>
        <v>847982</v>
      </c>
      <c r="B1386" t="str">
        <f>T("Machines et appareils à mélanger, malaxer, concasser, broyer, cribler, tamiser, homogénéiser, émulsionner ou brasser, n.d.a. (à l'excl. des robots industriels)")</f>
        <v>Machines et appareils à mélanger, malaxer, concasser, broyer, cribler, tamiser, homogénéiser, émulsionner ou brasser, n.d.a. (à l'excl. des robots industriels)</v>
      </c>
    </row>
    <row r="1387" spans="1:4" x14ac:dyDescent="0.25">
      <c r="A1387" t="str">
        <f>T("   ZZZ_Monde")</f>
        <v xml:space="preserve">   ZZZ_Monde</v>
      </c>
      <c r="B1387" t="str">
        <f>T("   ZZZ_Monde")</f>
        <v xml:space="preserve">   ZZZ_Monde</v>
      </c>
      <c r="C1387">
        <v>92898484</v>
      </c>
      <c r="D1387">
        <v>68525</v>
      </c>
    </row>
    <row r="1388" spans="1:4" x14ac:dyDescent="0.25">
      <c r="A1388" t="str">
        <f>T("   CM")</f>
        <v xml:space="preserve">   CM</v>
      </c>
      <c r="B1388" t="str">
        <f>T("   Cameroun")</f>
        <v xml:space="preserve">   Cameroun</v>
      </c>
      <c r="C1388">
        <v>92898484</v>
      </c>
      <c r="D1388">
        <v>68525</v>
      </c>
    </row>
    <row r="1389" spans="1:4" x14ac:dyDescent="0.25">
      <c r="A1389" t="str">
        <f>T("847989")</f>
        <v>847989</v>
      </c>
      <c r="B1389" t="str">
        <f>T("Machines et appareils, y.c. les appareils mécaniques, n.d.a.")</f>
        <v>Machines et appareils, y.c. les appareils mécaniques, n.d.a.</v>
      </c>
    </row>
    <row r="1390" spans="1:4" x14ac:dyDescent="0.25">
      <c r="A1390" t="str">
        <f>T("   ZZZ_Monde")</f>
        <v xml:space="preserve">   ZZZ_Monde</v>
      </c>
      <c r="B1390" t="str">
        <f>T("   ZZZ_Monde")</f>
        <v xml:space="preserve">   ZZZ_Monde</v>
      </c>
      <c r="C1390">
        <v>2000000</v>
      </c>
      <c r="D1390">
        <v>936</v>
      </c>
    </row>
    <row r="1391" spans="1:4" x14ac:dyDescent="0.25">
      <c r="A1391" t="str">
        <f>T("   CI")</f>
        <v xml:space="preserve">   CI</v>
      </c>
      <c r="B1391" t="str">
        <f>T("   Côte d'Ivoire")</f>
        <v xml:space="preserve">   Côte d'Ivoire</v>
      </c>
      <c r="C1391">
        <v>2000000</v>
      </c>
      <c r="D1391">
        <v>936</v>
      </c>
    </row>
    <row r="1392" spans="1:4" x14ac:dyDescent="0.25">
      <c r="A1392" t="str">
        <f>T("847990")</f>
        <v>847990</v>
      </c>
      <c r="B1392" t="str">
        <f>T("Parties de machines et appareils, y.c. les appareils mécaniques, n.d.a.")</f>
        <v>Parties de machines et appareils, y.c. les appareils mécaniques, n.d.a.</v>
      </c>
    </row>
    <row r="1393" spans="1:4" x14ac:dyDescent="0.25">
      <c r="A1393" t="str">
        <f>T("   ZZZ_Monde")</f>
        <v xml:space="preserve">   ZZZ_Monde</v>
      </c>
      <c r="B1393" t="str">
        <f>T("   ZZZ_Monde")</f>
        <v xml:space="preserve">   ZZZ_Monde</v>
      </c>
      <c r="C1393">
        <v>500000</v>
      </c>
      <c r="D1393">
        <v>15</v>
      </c>
    </row>
    <row r="1394" spans="1:4" x14ac:dyDescent="0.25">
      <c r="A1394" t="str">
        <f>T("   TG")</f>
        <v xml:space="preserve">   TG</v>
      </c>
      <c r="B1394" t="str">
        <f>T("   Togo")</f>
        <v xml:space="preserve">   Togo</v>
      </c>
      <c r="C1394">
        <v>500000</v>
      </c>
      <c r="D1394">
        <v>15</v>
      </c>
    </row>
    <row r="1395" spans="1:4" x14ac:dyDescent="0.25">
      <c r="A1395" t="str">
        <f>T("848390")</f>
        <v>848390</v>
      </c>
      <c r="B1395" t="str">
        <f>T("Roues dentées et autres organes élémentaires de transmission présentés séparément; parties d'organes mécaniques, d'organes de transmission, d'engrenages, de variateurs de vitesses, d'organes d'accouplement et d'autres organes du n° 8483, n.d.a.")</f>
        <v>Roues dentées et autres organes élémentaires de transmission présentés séparément; parties d'organes mécaniques, d'organes de transmission, d'engrenages, de variateurs de vitesses, d'organes d'accouplement et d'autres organes du n° 8483, n.d.a.</v>
      </c>
    </row>
    <row r="1396" spans="1:4" x14ac:dyDescent="0.25">
      <c r="A1396" t="str">
        <f>T("   ZZZ_Monde")</f>
        <v xml:space="preserve">   ZZZ_Monde</v>
      </c>
      <c r="B1396" t="str">
        <f>T("   ZZZ_Monde")</f>
        <v xml:space="preserve">   ZZZ_Monde</v>
      </c>
      <c r="C1396">
        <v>3176845</v>
      </c>
      <c r="D1396">
        <v>4214</v>
      </c>
    </row>
    <row r="1397" spans="1:4" x14ac:dyDescent="0.25">
      <c r="A1397" t="str">
        <f>T("   BE")</f>
        <v xml:space="preserve">   BE</v>
      </c>
      <c r="B1397" t="str">
        <f>T("   Belgique")</f>
        <v xml:space="preserve">   Belgique</v>
      </c>
      <c r="C1397">
        <v>3176845</v>
      </c>
      <c r="D1397">
        <v>4214</v>
      </c>
    </row>
    <row r="1398" spans="1:4" x14ac:dyDescent="0.25">
      <c r="A1398" t="str">
        <f>T("850110")</f>
        <v>850110</v>
      </c>
      <c r="B1398" t="str">
        <f>T("Moteurs d'une puissance &lt;= 37,5 W")</f>
        <v>Moteurs d'une puissance &lt;= 37,5 W</v>
      </c>
    </row>
    <row r="1399" spans="1:4" x14ac:dyDescent="0.25">
      <c r="A1399" t="str">
        <f>T("   ZZZ_Monde")</f>
        <v xml:space="preserve">   ZZZ_Monde</v>
      </c>
      <c r="B1399" t="str">
        <f>T("   ZZZ_Monde")</f>
        <v xml:space="preserve">   ZZZ_Monde</v>
      </c>
      <c r="C1399">
        <v>2000000</v>
      </c>
      <c r="D1399">
        <v>6400</v>
      </c>
    </row>
    <row r="1400" spans="1:4" x14ac:dyDescent="0.25">
      <c r="A1400" t="str">
        <f>T("   GN")</f>
        <v xml:space="preserve">   GN</v>
      </c>
      <c r="B1400" t="str">
        <f>T("   Guinée")</f>
        <v xml:space="preserve">   Guinée</v>
      </c>
      <c r="C1400">
        <v>2000000</v>
      </c>
      <c r="D1400">
        <v>6400</v>
      </c>
    </row>
    <row r="1401" spans="1:4" x14ac:dyDescent="0.25">
      <c r="A1401" t="str">
        <f>T("850140")</f>
        <v>850140</v>
      </c>
      <c r="B1401" t="str">
        <f>T("Moteurs à courant alternatif, monophasés")</f>
        <v>Moteurs à courant alternatif, monophasés</v>
      </c>
    </row>
    <row r="1402" spans="1:4" x14ac:dyDescent="0.25">
      <c r="A1402" t="str">
        <f>T("   ZZZ_Monde")</f>
        <v xml:space="preserve">   ZZZ_Monde</v>
      </c>
      <c r="B1402" t="str">
        <f>T("   ZZZ_Monde")</f>
        <v xml:space="preserve">   ZZZ_Monde</v>
      </c>
      <c r="C1402">
        <v>8300000</v>
      </c>
      <c r="D1402">
        <v>9500</v>
      </c>
    </row>
    <row r="1403" spans="1:4" x14ac:dyDescent="0.25">
      <c r="A1403" t="str">
        <f>T("   MR")</f>
        <v xml:space="preserve">   MR</v>
      </c>
      <c r="B1403" t="str">
        <f>T("   Mauritanie")</f>
        <v xml:space="preserve">   Mauritanie</v>
      </c>
      <c r="C1403">
        <v>4300000</v>
      </c>
      <c r="D1403">
        <v>7500</v>
      </c>
    </row>
    <row r="1404" spans="1:4" x14ac:dyDescent="0.25">
      <c r="A1404" t="str">
        <f>T("   NE")</f>
        <v xml:space="preserve">   NE</v>
      </c>
      <c r="B1404" t="str">
        <f>T("   Niger")</f>
        <v xml:space="preserve">   Niger</v>
      </c>
      <c r="C1404">
        <v>4000000</v>
      </c>
      <c r="D1404">
        <v>2000</v>
      </c>
    </row>
    <row r="1405" spans="1:4" x14ac:dyDescent="0.25">
      <c r="A1405" t="str">
        <f>T("850211")</f>
        <v>850211</v>
      </c>
      <c r="B1405" t="s">
        <v>18</v>
      </c>
    </row>
    <row r="1406" spans="1:4" x14ac:dyDescent="0.25">
      <c r="A1406" t="str">
        <f>T("   ZZZ_Monde")</f>
        <v xml:space="preserve">   ZZZ_Monde</v>
      </c>
      <c r="B1406" t="str">
        <f>T("   ZZZ_Monde")</f>
        <v xml:space="preserve">   ZZZ_Monde</v>
      </c>
      <c r="C1406">
        <v>17001171</v>
      </c>
      <c r="D1406">
        <v>8643</v>
      </c>
    </row>
    <row r="1407" spans="1:4" x14ac:dyDescent="0.25">
      <c r="A1407" t="str">
        <f>T("   CM")</f>
        <v xml:space="preserve">   CM</v>
      </c>
      <c r="B1407" t="str">
        <f>T("   Cameroun")</f>
        <v xml:space="preserve">   Cameroun</v>
      </c>
      <c r="C1407">
        <v>10617369</v>
      </c>
      <c r="D1407">
        <v>2881</v>
      </c>
    </row>
    <row r="1408" spans="1:4" x14ac:dyDescent="0.25">
      <c r="A1408" t="str">
        <f>T("   TG")</f>
        <v xml:space="preserve">   TG</v>
      </c>
      <c r="B1408" t="str">
        <f>T("   Togo")</f>
        <v xml:space="preserve">   Togo</v>
      </c>
      <c r="C1408">
        <v>6383802</v>
      </c>
      <c r="D1408">
        <v>5762</v>
      </c>
    </row>
    <row r="1409" spans="1:4" x14ac:dyDescent="0.25">
      <c r="A1409" t="str">
        <f>T("850212")</f>
        <v>850212</v>
      </c>
      <c r="B1409" t="str">
        <f>T("GROUPES ÉLECTROGÈNES À MOTEUR À PISTON À ALLUMAGE PAR COMPRESSION 'MOTEURS DIESEL OU SEMI-DIESEL', PUISSANCE &gt; 75 KVA MAIS &lt;= 375 KVA")</f>
        <v>GROUPES ÉLECTROGÈNES À MOTEUR À PISTON À ALLUMAGE PAR COMPRESSION 'MOTEURS DIESEL OU SEMI-DIESEL', PUISSANCE &gt; 75 KVA MAIS &lt;= 375 KVA</v>
      </c>
    </row>
    <row r="1410" spans="1:4" x14ac:dyDescent="0.25">
      <c r="A1410" t="str">
        <f>T("   ZZZ_Monde")</f>
        <v xml:space="preserve">   ZZZ_Monde</v>
      </c>
      <c r="B1410" t="str">
        <f>T("   ZZZ_Monde")</f>
        <v xml:space="preserve">   ZZZ_Monde</v>
      </c>
      <c r="C1410">
        <v>10034354</v>
      </c>
      <c r="D1410">
        <v>3250</v>
      </c>
    </row>
    <row r="1411" spans="1:4" x14ac:dyDescent="0.25">
      <c r="A1411" t="str">
        <f>T("   CM")</f>
        <v xml:space="preserve">   CM</v>
      </c>
      <c r="B1411" t="str">
        <f>T("   Cameroun")</f>
        <v xml:space="preserve">   Cameroun</v>
      </c>
      <c r="C1411">
        <v>9034354</v>
      </c>
      <c r="D1411">
        <v>2600</v>
      </c>
    </row>
    <row r="1412" spans="1:4" x14ac:dyDescent="0.25">
      <c r="A1412" t="str">
        <f>T("   NE")</f>
        <v xml:space="preserve">   NE</v>
      </c>
      <c r="B1412" t="str">
        <f>T("   Niger")</f>
        <v xml:space="preserve">   Niger</v>
      </c>
      <c r="C1412">
        <v>1000000</v>
      </c>
      <c r="D1412">
        <v>650</v>
      </c>
    </row>
    <row r="1413" spans="1:4" x14ac:dyDescent="0.25">
      <c r="A1413" t="str">
        <f>T("850239")</f>
        <v>850239</v>
      </c>
      <c r="B1413" t="str">
        <f>T("Groupes électrogènes (autres qu'à énergie éolienne et à moteurs à piston)")</f>
        <v>Groupes électrogènes (autres qu'à énergie éolienne et à moteurs à piston)</v>
      </c>
    </row>
    <row r="1414" spans="1:4" x14ac:dyDescent="0.25">
      <c r="A1414" t="str">
        <f>T("   ZZZ_Monde")</f>
        <v xml:space="preserve">   ZZZ_Monde</v>
      </c>
      <c r="B1414" t="str">
        <f>T("   ZZZ_Monde")</f>
        <v xml:space="preserve">   ZZZ_Monde</v>
      </c>
      <c r="C1414">
        <v>1000000</v>
      </c>
      <c r="D1414">
        <v>2000</v>
      </c>
    </row>
    <row r="1415" spans="1:4" x14ac:dyDescent="0.25">
      <c r="A1415" t="str">
        <f>T("   SN")</f>
        <v xml:space="preserve">   SN</v>
      </c>
      <c r="B1415" t="str">
        <f>T("   Sénégal")</f>
        <v xml:space="preserve">   Sénégal</v>
      </c>
      <c r="C1415">
        <v>1000000</v>
      </c>
      <c r="D1415">
        <v>2000</v>
      </c>
    </row>
    <row r="1416" spans="1:4" x14ac:dyDescent="0.25">
      <c r="A1416" t="str">
        <f>T("850440")</f>
        <v>850440</v>
      </c>
      <c r="B1416" t="str">
        <f>T("CONVERTISSEURS STATIQUES")</f>
        <v>CONVERTISSEURS STATIQUES</v>
      </c>
    </row>
    <row r="1417" spans="1:4" x14ac:dyDescent="0.25">
      <c r="A1417" t="str">
        <f>T("   ZZZ_Monde")</f>
        <v xml:space="preserve">   ZZZ_Monde</v>
      </c>
      <c r="B1417" t="str">
        <f>T("   ZZZ_Monde")</f>
        <v xml:space="preserve">   ZZZ_Monde</v>
      </c>
      <c r="C1417">
        <v>651601</v>
      </c>
      <c r="D1417">
        <v>125</v>
      </c>
    </row>
    <row r="1418" spans="1:4" x14ac:dyDescent="0.25">
      <c r="A1418" t="str">
        <f>T("   GB")</f>
        <v xml:space="preserve">   GB</v>
      </c>
      <c r="B1418" t="str">
        <f>T("   Royaume-Uni")</f>
        <v xml:space="preserve">   Royaume-Uni</v>
      </c>
      <c r="C1418">
        <v>651601</v>
      </c>
      <c r="D1418">
        <v>125</v>
      </c>
    </row>
    <row r="1419" spans="1:4" x14ac:dyDescent="0.25">
      <c r="A1419" t="str">
        <f>T("850680")</f>
        <v>850680</v>
      </c>
      <c r="B1419" t="str">
        <f>T("Piles et batteries de piles électriques (sauf hors d'usage et autres que piles et batteries à l'oxyde d'argent, de mercure, au bioxyde de manganèse, au lithium et à l'air-zinc)")</f>
        <v>Piles et batteries de piles électriques (sauf hors d'usage et autres que piles et batteries à l'oxyde d'argent, de mercure, au bioxyde de manganèse, au lithium et à l'air-zinc)</v>
      </c>
    </row>
    <row r="1420" spans="1:4" x14ac:dyDescent="0.25">
      <c r="A1420" t="str">
        <f>T("   ZZZ_Monde")</f>
        <v xml:space="preserve">   ZZZ_Monde</v>
      </c>
      <c r="B1420" t="str">
        <f>T("   ZZZ_Monde")</f>
        <v xml:space="preserve">   ZZZ_Monde</v>
      </c>
      <c r="C1420">
        <v>4800000</v>
      </c>
      <c r="D1420">
        <v>48000</v>
      </c>
    </row>
    <row r="1421" spans="1:4" x14ac:dyDescent="0.25">
      <c r="A1421" t="str">
        <f>T("   GH")</f>
        <v xml:space="preserve">   GH</v>
      </c>
      <c r="B1421" t="str">
        <f>T("   Ghana")</f>
        <v xml:space="preserve">   Ghana</v>
      </c>
      <c r="C1421">
        <v>4800000</v>
      </c>
      <c r="D1421">
        <v>48000</v>
      </c>
    </row>
    <row r="1422" spans="1:4" x14ac:dyDescent="0.25">
      <c r="A1422" t="str">
        <f>T("850720")</f>
        <v>850720</v>
      </c>
      <c r="B1422" t="str">
        <f>T("Accumulateurs au plomb (sauf hors d'usage et autres que pour le démarrage des moteurs à piston)")</f>
        <v>Accumulateurs au plomb (sauf hors d'usage et autres que pour le démarrage des moteurs à piston)</v>
      </c>
    </row>
    <row r="1423" spans="1:4" x14ac:dyDescent="0.25">
      <c r="A1423" t="str">
        <f>T("   ZZZ_Monde")</f>
        <v xml:space="preserve">   ZZZ_Monde</v>
      </c>
      <c r="B1423" t="str">
        <f>T("   ZZZ_Monde")</f>
        <v xml:space="preserve">   ZZZ_Monde</v>
      </c>
      <c r="C1423">
        <v>27587960</v>
      </c>
      <c r="D1423">
        <v>80399</v>
      </c>
    </row>
    <row r="1424" spans="1:4" x14ac:dyDescent="0.25">
      <c r="A1424" t="str">
        <f>T("   IN")</f>
        <v xml:space="preserve">   IN</v>
      </c>
      <c r="B1424" t="str">
        <f>T("   Inde")</f>
        <v xml:space="preserve">   Inde</v>
      </c>
      <c r="C1424">
        <v>17650460</v>
      </c>
      <c r="D1424">
        <v>74122</v>
      </c>
    </row>
    <row r="1425" spans="1:4" x14ac:dyDescent="0.25">
      <c r="A1425" t="str">
        <f>T("   NE")</f>
        <v xml:space="preserve">   NE</v>
      </c>
      <c r="B1425" t="str">
        <f>T("   Niger")</f>
        <v xml:space="preserve">   Niger</v>
      </c>
      <c r="C1425">
        <v>9937500</v>
      </c>
      <c r="D1425">
        <v>6277</v>
      </c>
    </row>
    <row r="1426" spans="1:4" x14ac:dyDescent="0.25">
      <c r="A1426" t="str">
        <f>T("850780")</f>
        <v>850780</v>
      </c>
      <c r="B1426" t="str">
        <f>T("Accumulateurs électriques (sauf hors d'usage et autres qu'au plomb, au nickel-cadmium ou au nickel-fer)")</f>
        <v>Accumulateurs électriques (sauf hors d'usage et autres qu'au plomb, au nickel-cadmium ou au nickel-fer)</v>
      </c>
    </row>
    <row r="1427" spans="1:4" x14ac:dyDescent="0.25">
      <c r="A1427" t="str">
        <f>T("   ZZZ_Monde")</f>
        <v xml:space="preserve">   ZZZ_Monde</v>
      </c>
      <c r="B1427" t="str">
        <f>T("   ZZZ_Monde")</f>
        <v xml:space="preserve">   ZZZ_Monde</v>
      </c>
      <c r="C1427">
        <v>1000000</v>
      </c>
      <c r="D1427">
        <v>20000</v>
      </c>
    </row>
    <row r="1428" spans="1:4" x14ac:dyDescent="0.25">
      <c r="A1428" t="str">
        <f>T("   IN")</f>
        <v xml:space="preserve">   IN</v>
      </c>
      <c r="B1428" t="str">
        <f>T("   Inde")</f>
        <v xml:space="preserve">   Inde</v>
      </c>
      <c r="C1428">
        <v>1000000</v>
      </c>
      <c r="D1428">
        <v>20000</v>
      </c>
    </row>
    <row r="1429" spans="1:4" x14ac:dyDescent="0.25">
      <c r="A1429" t="str">
        <f>T("850790")</f>
        <v>850790</v>
      </c>
      <c r="B1429" t="str">
        <f>T("Plaques, séparateurs et autres parties d'accumulateurs électriques n.d.a.")</f>
        <v>Plaques, séparateurs et autres parties d'accumulateurs électriques n.d.a.</v>
      </c>
    </row>
    <row r="1430" spans="1:4" x14ac:dyDescent="0.25">
      <c r="A1430" t="str">
        <f>T("   ZZZ_Monde")</f>
        <v xml:space="preserve">   ZZZ_Monde</v>
      </c>
      <c r="B1430" t="str">
        <f>T("   ZZZ_Monde")</f>
        <v xml:space="preserve">   ZZZ_Monde</v>
      </c>
      <c r="C1430">
        <v>156163513</v>
      </c>
      <c r="D1430">
        <v>501625</v>
      </c>
    </row>
    <row r="1431" spans="1:4" x14ac:dyDescent="0.25">
      <c r="A1431" t="str">
        <f>T("   CN")</f>
        <v xml:space="preserve">   CN</v>
      </c>
      <c r="B1431" t="str">
        <f>T("   Chine")</f>
        <v xml:space="preserve">   Chine</v>
      </c>
      <c r="C1431">
        <v>500000</v>
      </c>
      <c r="D1431">
        <v>10000</v>
      </c>
    </row>
    <row r="1432" spans="1:4" x14ac:dyDescent="0.25">
      <c r="A1432" t="str">
        <f>T("   GH")</f>
        <v xml:space="preserve">   GH</v>
      </c>
      <c r="B1432" t="str">
        <f>T("   Ghana")</f>
        <v xml:space="preserve">   Ghana</v>
      </c>
      <c r="C1432">
        <v>12350000</v>
      </c>
      <c r="D1432">
        <v>247000</v>
      </c>
    </row>
    <row r="1433" spans="1:4" x14ac:dyDescent="0.25">
      <c r="A1433" t="str">
        <f>T("   IN")</f>
        <v xml:space="preserve">   IN</v>
      </c>
      <c r="B1433" t="str">
        <f>T("   Inde")</f>
        <v xml:space="preserve">   Inde</v>
      </c>
      <c r="C1433">
        <v>143313513</v>
      </c>
      <c r="D1433">
        <v>244625</v>
      </c>
    </row>
    <row r="1434" spans="1:4" x14ac:dyDescent="0.25">
      <c r="A1434" t="str">
        <f>T("851430")</f>
        <v>851430</v>
      </c>
      <c r="B1434" t="str">
        <f>T("Fours électriques industriels ou de laboratoires (autres que les fours à résistance, à chauffage indirect, les fours fonctionnant par induction ou par perte diélectrique et les étuves)")</f>
        <v>Fours électriques industriels ou de laboratoires (autres que les fours à résistance, à chauffage indirect, les fours fonctionnant par induction ou par perte diélectrique et les étuves)</v>
      </c>
    </row>
    <row r="1435" spans="1:4" x14ac:dyDescent="0.25">
      <c r="A1435" t="str">
        <f>T("   ZZZ_Monde")</f>
        <v xml:space="preserve">   ZZZ_Monde</v>
      </c>
      <c r="B1435" t="str">
        <f>T("   ZZZ_Monde")</f>
        <v xml:space="preserve">   ZZZ_Monde</v>
      </c>
      <c r="C1435">
        <v>3000000</v>
      </c>
      <c r="D1435">
        <v>9500</v>
      </c>
    </row>
    <row r="1436" spans="1:4" x14ac:dyDescent="0.25">
      <c r="A1436" t="str">
        <f>T("   NE")</f>
        <v xml:space="preserve">   NE</v>
      </c>
      <c r="B1436" t="str">
        <f>T("   Niger")</f>
        <v xml:space="preserve">   Niger</v>
      </c>
      <c r="C1436">
        <v>3000000</v>
      </c>
      <c r="D1436">
        <v>9500</v>
      </c>
    </row>
    <row r="1437" spans="1:4" x14ac:dyDescent="0.25">
      <c r="A1437" t="str">
        <f>T("851519")</f>
        <v>851519</v>
      </c>
      <c r="B1437" t="str">
        <f>T("Machines et appareils électriques pour le brasage fort ou tendre (sauf fers et pistolets à braser)")</f>
        <v>Machines et appareils électriques pour le brasage fort ou tendre (sauf fers et pistolets à braser)</v>
      </c>
    </row>
    <row r="1438" spans="1:4" x14ac:dyDescent="0.25">
      <c r="A1438" t="str">
        <f>T("   ZZZ_Monde")</f>
        <v xml:space="preserve">   ZZZ_Monde</v>
      </c>
      <c r="B1438" t="str">
        <f>T("   ZZZ_Monde")</f>
        <v xml:space="preserve">   ZZZ_Monde</v>
      </c>
      <c r="C1438">
        <v>6455551</v>
      </c>
      <c r="D1438">
        <v>224</v>
      </c>
    </row>
    <row r="1439" spans="1:4" x14ac:dyDescent="0.25">
      <c r="A1439" t="str">
        <f>T("   CI")</f>
        <v xml:space="preserve">   CI</v>
      </c>
      <c r="B1439" t="str">
        <f>T("   Côte d'Ivoire")</f>
        <v xml:space="preserve">   Côte d'Ivoire</v>
      </c>
      <c r="C1439">
        <v>6455551</v>
      </c>
      <c r="D1439">
        <v>224</v>
      </c>
    </row>
    <row r="1440" spans="1:4" x14ac:dyDescent="0.25">
      <c r="A1440" t="str">
        <f>T("851539")</f>
        <v>851539</v>
      </c>
      <c r="B1440" t="str">
        <f>T("MACHINES ET APPAREILS POUR LE SOUDAGE DES MÉTAUX À L'ARC OU AU JET DE PLASMA, NON-AUTOMATIQUES")</f>
        <v>MACHINES ET APPAREILS POUR LE SOUDAGE DES MÉTAUX À L'ARC OU AU JET DE PLASMA, NON-AUTOMATIQUES</v>
      </c>
    </row>
    <row r="1441" spans="1:4" x14ac:dyDescent="0.25">
      <c r="A1441" t="str">
        <f>T("   ZZZ_Monde")</f>
        <v xml:space="preserve">   ZZZ_Monde</v>
      </c>
      <c r="B1441" t="str">
        <f>T("   ZZZ_Monde")</f>
        <v xml:space="preserve">   ZZZ_Monde</v>
      </c>
      <c r="C1441">
        <v>4007749</v>
      </c>
      <c r="D1441">
        <v>357</v>
      </c>
    </row>
    <row r="1442" spans="1:4" x14ac:dyDescent="0.25">
      <c r="A1442" t="str">
        <f>T("   CI")</f>
        <v xml:space="preserve">   CI</v>
      </c>
      <c r="B1442" t="str">
        <f>T("   Côte d'Ivoire")</f>
        <v xml:space="preserve">   Côte d'Ivoire</v>
      </c>
      <c r="C1442">
        <v>4007749</v>
      </c>
      <c r="D1442">
        <v>357</v>
      </c>
    </row>
    <row r="1443" spans="1:4" x14ac:dyDescent="0.25">
      <c r="A1443" t="str">
        <f>T("851590")</f>
        <v>851590</v>
      </c>
      <c r="B1443" t="str">
        <f>T("Parties de machines et appareils électriques pour le brasage, le soudage ou la projection à chaud de métaux, de carbures métalliques frittés ou de cermets, n.d.a.")</f>
        <v>Parties de machines et appareils électriques pour le brasage, le soudage ou la projection à chaud de métaux, de carbures métalliques frittés ou de cermets, n.d.a.</v>
      </c>
    </row>
    <row r="1444" spans="1:4" x14ac:dyDescent="0.25">
      <c r="A1444" t="str">
        <f>T("   ZZZ_Monde")</f>
        <v xml:space="preserve">   ZZZ_Monde</v>
      </c>
      <c r="B1444" t="str">
        <f>T("   ZZZ_Monde")</f>
        <v xml:space="preserve">   ZZZ_Monde</v>
      </c>
      <c r="C1444">
        <v>535787</v>
      </c>
      <c r="D1444">
        <v>38</v>
      </c>
    </row>
    <row r="1445" spans="1:4" x14ac:dyDescent="0.25">
      <c r="A1445" t="str">
        <f>T("   CI")</f>
        <v xml:space="preserve">   CI</v>
      </c>
      <c r="B1445" t="str">
        <f>T("   Côte d'Ivoire")</f>
        <v xml:space="preserve">   Côte d'Ivoire</v>
      </c>
      <c r="C1445">
        <v>535787</v>
      </c>
      <c r="D1445">
        <v>38</v>
      </c>
    </row>
    <row r="1446" spans="1:4" x14ac:dyDescent="0.25">
      <c r="A1446" t="str">
        <f>T("852540")</f>
        <v>852540</v>
      </c>
      <c r="B1446" t="str">
        <f>T("Appareils de prise de vues fixes vidéo et autres caméscopes; appareils photographiques numériques")</f>
        <v>Appareils de prise de vues fixes vidéo et autres caméscopes; appareils photographiques numériques</v>
      </c>
    </row>
    <row r="1447" spans="1:4" x14ac:dyDescent="0.25">
      <c r="A1447" t="str">
        <f>T("   ZZZ_Monde")</f>
        <v xml:space="preserve">   ZZZ_Monde</v>
      </c>
      <c r="B1447" t="str">
        <f>T("   ZZZ_Monde")</f>
        <v xml:space="preserve">   ZZZ_Monde</v>
      </c>
      <c r="C1447">
        <v>9523521</v>
      </c>
      <c r="D1447">
        <v>5529</v>
      </c>
    </row>
    <row r="1448" spans="1:4" x14ac:dyDescent="0.25">
      <c r="A1448" t="str">
        <f>T("   ZA")</f>
        <v xml:space="preserve">   ZA</v>
      </c>
      <c r="B1448" t="str">
        <f>T("   Afrique du Sud")</f>
        <v xml:space="preserve">   Afrique du Sud</v>
      </c>
      <c r="C1448">
        <v>9523521</v>
      </c>
      <c r="D1448">
        <v>5529</v>
      </c>
    </row>
    <row r="1449" spans="1:4" x14ac:dyDescent="0.25">
      <c r="A1449" t="str">
        <f>T("852812")</f>
        <v>852812</v>
      </c>
      <c r="B1449" t="str">
        <f>T("Appareils récepteurs pour la télévision en couleurs, même incorporant un appareil récepteur de radiodiffusion ou un appareil d'enregistrement ou de reproduction du son ou des images")</f>
        <v>Appareils récepteurs pour la télévision en couleurs, même incorporant un appareil récepteur de radiodiffusion ou un appareil d'enregistrement ou de reproduction du son ou des images</v>
      </c>
    </row>
    <row r="1450" spans="1:4" x14ac:dyDescent="0.25">
      <c r="A1450" t="str">
        <f>T("   ZZZ_Monde")</f>
        <v xml:space="preserve">   ZZZ_Monde</v>
      </c>
      <c r="B1450" t="str">
        <f>T("   ZZZ_Monde")</f>
        <v xml:space="preserve">   ZZZ_Monde</v>
      </c>
      <c r="C1450">
        <v>180000</v>
      </c>
      <c r="D1450">
        <v>5</v>
      </c>
    </row>
    <row r="1451" spans="1:4" x14ac:dyDescent="0.25">
      <c r="A1451" t="str">
        <f>T("   GQ")</f>
        <v xml:space="preserve">   GQ</v>
      </c>
      <c r="B1451" t="str">
        <f>T("   Guinée Equatoriale")</f>
        <v xml:space="preserve">   Guinée Equatoriale</v>
      </c>
      <c r="C1451">
        <v>180000</v>
      </c>
      <c r="D1451">
        <v>5</v>
      </c>
    </row>
    <row r="1452" spans="1:4" x14ac:dyDescent="0.25">
      <c r="A1452" t="str">
        <f>T("853710")</f>
        <v>853710</v>
      </c>
      <c r="B1452" t="str">
        <f>T("Tableaux, armoires et combinaisons d'appareils simil., pour la commande ou la distribution électrique, pour une tension &gt;= 1.000 V")</f>
        <v>Tableaux, armoires et combinaisons d'appareils simil., pour la commande ou la distribution électrique, pour une tension &gt;= 1.000 V</v>
      </c>
    </row>
    <row r="1453" spans="1:4" x14ac:dyDescent="0.25">
      <c r="A1453" t="str">
        <f>T("   ZZZ_Monde")</f>
        <v xml:space="preserve">   ZZZ_Monde</v>
      </c>
      <c r="B1453" t="str">
        <f>T("   ZZZ_Monde")</f>
        <v xml:space="preserve">   ZZZ_Monde</v>
      </c>
      <c r="C1453">
        <v>500000</v>
      </c>
      <c r="D1453">
        <v>500</v>
      </c>
    </row>
    <row r="1454" spans="1:4" x14ac:dyDescent="0.25">
      <c r="A1454" t="str">
        <f>T("   LB")</f>
        <v xml:space="preserve">   LB</v>
      </c>
      <c r="B1454" t="str">
        <f>T("   Liban")</f>
        <v xml:space="preserve">   Liban</v>
      </c>
      <c r="C1454">
        <v>500000</v>
      </c>
      <c r="D1454">
        <v>500</v>
      </c>
    </row>
    <row r="1455" spans="1:4" x14ac:dyDescent="0.25">
      <c r="A1455" t="str">
        <f>T("853910")</f>
        <v>853910</v>
      </c>
      <c r="B1455" t="str">
        <f>T("Phares et projecteurs scellés")</f>
        <v>Phares et projecteurs scellés</v>
      </c>
    </row>
    <row r="1456" spans="1:4" x14ac:dyDescent="0.25">
      <c r="A1456" t="str">
        <f>T("   ZZZ_Monde")</f>
        <v xml:space="preserve">   ZZZ_Monde</v>
      </c>
      <c r="B1456" t="str">
        <f>T("   ZZZ_Monde")</f>
        <v xml:space="preserve">   ZZZ_Monde</v>
      </c>
      <c r="C1456">
        <v>1279737</v>
      </c>
      <c r="D1456">
        <v>94</v>
      </c>
    </row>
    <row r="1457" spans="1:4" x14ac:dyDescent="0.25">
      <c r="A1457" t="str">
        <f>T("   CI")</f>
        <v xml:space="preserve">   CI</v>
      </c>
      <c r="B1457" t="str">
        <f>T("   Côte d'Ivoire")</f>
        <v xml:space="preserve">   Côte d'Ivoire</v>
      </c>
      <c r="C1457">
        <v>89825</v>
      </c>
      <c r="D1457">
        <v>4</v>
      </c>
    </row>
    <row r="1458" spans="1:4" x14ac:dyDescent="0.25">
      <c r="A1458" t="str">
        <f>T("   FR")</f>
        <v xml:space="preserve">   FR</v>
      </c>
      <c r="B1458" t="str">
        <f>T("   France")</f>
        <v xml:space="preserve">   France</v>
      </c>
      <c r="C1458">
        <v>1189912</v>
      </c>
      <c r="D1458">
        <v>90</v>
      </c>
    </row>
    <row r="1459" spans="1:4" x14ac:dyDescent="0.25">
      <c r="A1459" t="str">
        <f>T("853931")</f>
        <v>853931</v>
      </c>
      <c r="B1459" t="str">
        <f>T("Lampes et tubes à décharge, fluorescents, à cathode chaude")</f>
        <v>Lampes et tubes à décharge, fluorescents, à cathode chaude</v>
      </c>
    </row>
    <row r="1460" spans="1:4" x14ac:dyDescent="0.25">
      <c r="A1460" t="str">
        <f>T("   ZZZ_Monde")</f>
        <v xml:space="preserve">   ZZZ_Monde</v>
      </c>
      <c r="B1460" t="str">
        <f>T("   ZZZ_Monde")</f>
        <v xml:space="preserve">   ZZZ_Monde</v>
      </c>
      <c r="C1460">
        <v>1565436</v>
      </c>
      <c r="D1460">
        <v>684</v>
      </c>
    </row>
    <row r="1461" spans="1:4" x14ac:dyDescent="0.25">
      <c r="A1461" t="str">
        <f>T("   NE")</f>
        <v xml:space="preserve">   NE</v>
      </c>
      <c r="B1461" t="str">
        <f>T("   Niger")</f>
        <v xml:space="preserve">   Niger</v>
      </c>
      <c r="C1461">
        <v>1565436</v>
      </c>
      <c r="D1461">
        <v>684</v>
      </c>
    </row>
    <row r="1462" spans="1:4" x14ac:dyDescent="0.25">
      <c r="A1462" t="str">
        <f>T("853939")</f>
        <v>853939</v>
      </c>
      <c r="B1462" t="str">
        <f>T("Lampes et tubes à décharge (autres que fluorescents, à cathode chaude, à vapeur de mercure ou de sodium, à halogénure métallique et qu'à rayons ultraviolets)")</f>
        <v>Lampes et tubes à décharge (autres que fluorescents, à cathode chaude, à vapeur de mercure ou de sodium, à halogénure métallique et qu'à rayons ultraviolets)</v>
      </c>
    </row>
    <row r="1463" spans="1:4" x14ac:dyDescent="0.25">
      <c r="A1463" t="str">
        <f>T("   ZZZ_Monde")</f>
        <v xml:space="preserve">   ZZZ_Monde</v>
      </c>
      <c r="B1463" t="str">
        <f>T("   ZZZ_Monde")</f>
        <v xml:space="preserve">   ZZZ_Monde</v>
      </c>
      <c r="C1463">
        <v>35052</v>
      </c>
      <c r="D1463">
        <v>1</v>
      </c>
    </row>
    <row r="1464" spans="1:4" x14ac:dyDescent="0.25">
      <c r="A1464" t="str">
        <f>T("   CI")</f>
        <v xml:space="preserve">   CI</v>
      </c>
      <c r="B1464" t="str">
        <f>T("   Côte d'Ivoire")</f>
        <v xml:space="preserve">   Côte d'Ivoire</v>
      </c>
      <c r="C1464">
        <v>35052</v>
      </c>
      <c r="D1464">
        <v>1</v>
      </c>
    </row>
    <row r="1465" spans="1:4" x14ac:dyDescent="0.25">
      <c r="A1465" t="str">
        <f>T("854420")</f>
        <v>854420</v>
      </c>
      <c r="B1465" t="str">
        <f>T("Câbles coaxiaux et autres conducteurs électriques coaxiaux, isolés")</f>
        <v>Câbles coaxiaux et autres conducteurs électriques coaxiaux, isolés</v>
      </c>
    </row>
    <row r="1466" spans="1:4" x14ac:dyDescent="0.25">
      <c r="A1466" t="str">
        <f>T("   ZZZ_Monde")</f>
        <v xml:space="preserve">   ZZZ_Monde</v>
      </c>
      <c r="B1466" t="str">
        <f>T("   ZZZ_Monde")</f>
        <v xml:space="preserve">   ZZZ_Monde</v>
      </c>
      <c r="C1466">
        <v>3748627</v>
      </c>
      <c r="D1466">
        <v>1285</v>
      </c>
    </row>
    <row r="1467" spans="1:4" x14ac:dyDescent="0.25">
      <c r="A1467" t="str">
        <f>T("   UG")</f>
        <v xml:space="preserve">   UG</v>
      </c>
      <c r="B1467" t="str">
        <f>T("   Ouganda")</f>
        <v xml:space="preserve">   Ouganda</v>
      </c>
      <c r="C1467">
        <v>3748627</v>
      </c>
      <c r="D1467">
        <v>1285</v>
      </c>
    </row>
    <row r="1468" spans="1:4" x14ac:dyDescent="0.25">
      <c r="A1468" t="str">
        <f>T("854449")</f>
        <v>854449</v>
      </c>
      <c r="B1468" t="str">
        <f>T("CONDUCTEURS ÉLECTRIQUES, POUR TENSION &lt;= 1.000 V, ISOLÉS, SANS PIÈCES DE CONNEXION, N.D.A.")</f>
        <v>CONDUCTEURS ÉLECTRIQUES, POUR TENSION &lt;= 1.000 V, ISOLÉS, SANS PIÈCES DE CONNEXION, N.D.A.</v>
      </c>
    </row>
    <row r="1469" spans="1:4" x14ac:dyDescent="0.25">
      <c r="A1469" t="str">
        <f>T("   ZZZ_Monde")</f>
        <v xml:space="preserve">   ZZZ_Monde</v>
      </c>
      <c r="B1469" t="str">
        <f>T("   ZZZ_Monde")</f>
        <v xml:space="preserve">   ZZZ_Monde</v>
      </c>
      <c r="C1469">
        <v>1058984</v>
      </c>
      <c r="D1469">
        <v>114</v>
      </c>
    </row>
    <row r="1470" spans="1:4" x14ac:dyDescent="0.25">
      <c r="A1470" t="str">
        <f>T("   CI")</f>
        <v xml:space="preserve">   CI</v>
      </c>
      <c r="B1470" t="str">
        <f>T("   Côte d'Ivoire")</f>
        <v xml:space="preserve">   Côte d'Ivoire</v>
      </c>
      <c r="C1470">
        <v>758693</v>
      </c>
      <c r="D1470">
        <v>56</v>
      </c>
    </row>
    <row r="1471" spans="1:4" x14ac:dyDescent="0.25">
      <c r="A1471" t="str">
        <f>T("   GB")</f>
        <v xml:space="preserve">   GB</v>
      </c>
      <c r="B1471" t="str">
        <f>T("   Royaume-Uni")</f>
        <v xml:space="preserve">   Royaume-Uni</v>
      </c>
      <c r="C1471">
        <v>300291</v>
      </c>
      <c r="D1471">
        <v>58</v>
      </c>
    </row>
    <row r="1472" spans="1:4" x14ac:dyDescent="0.25">
      <c r="A1472" t="str">
        <f>T("870120")</f>
        <v>870120</v>
      </c>
      <c r="B1472" t="str">
        <f>T("Tracteurs routiers pour semi-remorques")</f>
        <v>Tracteurs routiers pour semi-remorques</v>
      </c>
    </row>
    <row r="1473" spans="1:4" x14ac:dyDescent="0.25">
      <c r="A1473" t="str">
        <f>T("   ZZZ_Monde")</f>
        <v xml:space="preserve">   ZZZ_Monde</v>
      </c>
      <c r="B1473" t="str">
        <f>T("   ZZZ_Monde")</f>
        <v xml:space="preserve">   ZZZ_Monde</v>
      </c>
      <c r="C1473">
        <v>316645</v>
      </c>
      <c r="D1473">
        <v>20649</v>
      </c>
    </row>
    <row r="1474" spans="1:4" x14ac:dyDescent="0.25">
      <c r="A1474" t="str">
        <f>T("   BF")</f>
        <v xml:space="preserve">   BF</v>
      </c>
      <c r="B1474" t="str">
        <f>T("   Burkina Faso")</f>
        <v xml:space="preserve">   Burkina Faso</v>
      </c>
      <c r="C1474">
        <v>159152</v>
      </c>
      <c r="D1474">
        <v>12149</v>
      </c>
    </row>
    <row r="1475" spans="1:4" x14ac:dyDescent="0.25">
      <c r="A1475" t="str">
        <f>T("   CI")</f>
        <v xml:space="preserve">   CI</v>
      </c>
      <c r="B1475" t="str">
        <f>T("   Côte d'Ivoire")</f>
        <v xml:space="preserve">   Côte d'Ivoire</v>
      </c>
      <c r="C1475">
        <v>157493</v>
      </c>
      <c r="D1475">
        <v>8500</v>
      </c>
    </row>
    <row r="1476" spans="1:4" x14ac:dyDescent="0.25">
      <c r="A1476" t="str">
        <f>T("870130")</f>
        <v>870130</v>
      </c>
      <c r="B1476" t="str">
        <f>T("Tracteurs à chenilles (sauf motoculteurs à chenille)")</f>
        <v>Tracteurs à chenilles (sauf motoculteurs à chenille)</v>
      </c>
    </row>
    <row r="1477" spans="1:4" x14ac:dyDescent="0.25">
      <c r="A1477" t="str">
        <f>T("   ZZZ_Monde")</f>
        <v xml:space="preserve">   ZZZ_Monde</v>
      </c>
      <c r="B1477" t="str">
        <f>T("   ZZZ_Monde")</f>
        <v xml:space="preserve">   ZZZ_Monde</v>
      </c>
      <c r="C1477">
        <v>20000000</v>
      </c>
      <c r="D1477">
        <v>18000</v>
      </c>
    </row>
    <row r="1478" spans="1:4" x14ac:dyDescent="0.25">
      <c r="A1478" t="str">
        <f>T("   NL")</f>
        <v xml:space="preserve">   NL</v>
      </c>
      <c r="B1478" t="str">
        <f>T("   Pays-bas")</f>
        <v xml:space="preserve">   Pays-bas</v>
      </c>
      <c r="C1478">
        <v>20000000</v>
      </c>
      <c r="D1478">
        <v>18000</v>
      </c>
    </row>
    <row r="1479" spans="1:4" x14ac:dyDescent="0.25">
      <c r="A1479" t="str">
        <f>T("870190")</f>
        <v>870190</v>
      </c>
      <c r="B1479" t="str">
        <f>T("Tracteurs (à l'excl. des chariots-tracteurs du n° 8709, ainsi que des motoculteurs, tracteurs routiers pour semi-remorques et tracteurs à chenilles)")</f>
        <v>Tracteurs (à l'excl. des chariots-tracteurs du n° 8709, ainsi que des motoculteurs, tracteurs routiers pour semi-remorques et tracteurs à chenilles)</v>
      </c>
    </row>
    <row r="1480" spans="1:4" x14ac:dyDescent="0.25">
      <c r="A1480" t="str">
        <f>T("   ZZZ_Monde")</f>
        <v xml:space="preserve">   ZZZ_Monde</v>
      </c>
      <c r="B1480" t="str">
        <f>T("   ZZZ_Monde")</f>
        <v xml:space="preserve">   ZZZ_Monde</v>
      </c>
      <c r="C1480">
        <v>5000000</v>
      </c>
      <c r="D1480">
        <v>5000</v>
      </c>
    </row>
    <row r="1481" spans="1:4" x14ac:dyDescent="0.25">
      <c r="A1481" t="str">
        <f>T("   NG")</f>
        <v xml:space="preserve">   NG</v>
      </c>
      <c r="B1481" t="str">
        <f>T("   Nigéria")</f>
        <v xml:space="preserve">   Nigéria</v>
      </c>
      <c r="C1481">
        <v>5000000</v>
      </c>
      <c r="D1481">
        <v>5000</v>
      </c>
    </row>
    <row r="1482" spans="1:4" x14ac:dyDescent="0.25">
      <c r="A1482" t="str">
        <f>T("870210")</f>
        <v>870210</v>
      </c>
      <c r="B1482" t="s">
        <v>19</v>
      </c>
    </row>
    <row r="1483" spans="1:4" x14ac:dyDescent="0.25">
      <c r="A1483" t="str">
        <f>T("   ZZZ_Monde")</f>
        <v xml:space="preserve">   ZZZ_Monde</v>
      </c>
      <c r="B1483" t="str">
        <f>T("   ZZZ_Monde")</f>
        <v xml:space="preserve">   ZZZ_Monde</v>
      </c>
      <c r="C1483">
        <v>1000000</v>
      </c>
      <c r="D1483">
        <v>1780</v>
      </c>
    </row>
    <row r="1484" spans="1:4" x14ac:dyDescent="0.25">
      <c r="A1484" t="str">
        <f>T("   GA")</f>
        <v xml:space="preserve">   GA</v>
      </c>
      <c r="B1484" t="str">
        <f>T("   Gabon")</f>
        <v xml:space="preserve">   Gabon</v>
      </c>
      <c r="C1484">
        <v>1000000</v>
      </c>
      <c r="D1484">
        <v>1780</v>
      </c>
    </row>
    <row r="1485" spans="1:4" x14ac:dyDescent="0.25">
      <c r="A1485" t="str">
        <f>T("870322")</f>
        <v>870322</v>
      </c>
      <c r="B1485" t="s">
        <v>20</v>
      </c>
    </row>
    <row r="1486" spans="1:4" x14ac:dyDescent="0.25">
      <c r="A1486" t="str">
        <f>T("   ZZZ_Monde")</f>
        <v xml:space="preserve">   ZZZ_Monde</v>
      </c>
      <c r="B1486" t="str">
        <f>T("   ZZZ_Monde")</f>
        <v xml:space="preserve">   ZZZ_Monde</v>
      </c>
      <c r="C1486">
        <v>74185377</v>
      </c>
      <c r="D1486">
        <v>89295</v>
      </c>
    </row>
    <row r="1487" spans="1:4" x14ac:dyDescent="0.25">
      <c r="A1487" t="str">
        <f>T("   BE")</f>
        <v xml:space="preserve">   BE</v>
      </c>
      <c r="B1487" t="str">
        <f>T("   Belgique")</f>
        <v xml:space="preserve">   Belgique</v>
      </c>
      <c r="C1487">
        <v>1200000</v>
      </c>
      <c r="D1487">
        <v>850</v>
      </c>
    </row>
    <row r="1488" spans="1:4" x14ac:dyDescent="0.25">
      <c r="A1488" t="str">
        <f>T("   BF")</f>
        <v xml:space="preserve">   BF</v>
      </c>
      <c r="B1488" t="str">
        <f>T("   Burkina Faso")</f>
        <v xml:space="preserve">   Burkina Faso</v>
      </c>
      <c r="C1488">
        <v>5487940</v>
      </c>
      <c r="D1488">
        <v>2579</v>
      </c>
    </row>
    <row r="1489" spans="1:4" x14ac:dyDescent="0.25">
      <c r="A1489" t="str">
        <f>T("   CG")</f>
        <v xml:space="preserve">   CG</v>
      </c>
      <c r="B1489" t="str">
        <f>T("   Congo (Brazzaville)")</f>
        <v xml:space="preserve">   Congo (Brazzaville)</v>
      </c>
      <c r="C1489">
        <v>5100000</v>
      </c>
      <c r="D1489">
        <v>7936</v>
      </c>
    </row>
    <row r="1490" spans="1:4" x14ac:dyDescent="0.25">
      <c r="A1490" t="str">
        <f>T("   CM")</f>
        <v xml:space="preserve">   CM</v>
      </c>
      <c r="B1490" t="str">
        <f>T("   Cameroun")</f>
        <v xml:space="preserve">   Cameroun</v>
      </c>
      <c r="C1490">
        <v>6700000</v>
      </c>
      <c r="D1490">
        <v>17159</v>
      </c>
    </row>
    <row r="1491" spans="1:4" x14ac:dyDescent="0.25">
      <c r="A1491" t="str">
        <f>T("   DK")</f>
        <v xml:space="preserve">   DK</v>
      </c>
      <c r="B1491" t="str">
        <f>T("   Danemark")</f>
        <v xml:space="preserve">   Danemark</v>
      </c>
      <c r="C1491">
        <v>1300000</v>
      </c>
      <c r="D1491">
        <v>1200</v>
      </c>
    </row>
    <row r="1492" spans="1:4" x14ac:dyDescent="0.25">
      <c r="A1492" t="str">
        <f>T("   FR")</f>
        <v xml:space="preserve">   FR</v>
      </c>
      <c r="B1492" t="str">
        <f>T("   France")</f>
        <v xml:space="preserve">   France</v>
      </c>
      <c r="C1492">
        <v>12604068</v>
      </c>
      <c r="D1492">
        <v>1330</v>
      </c>
    </row>
    <row r="1493" spans="1:4" x14ac:dyDescent="0.25">
      <c r="A1493" t="str">
        <f>T("   GA")</f>
        <v xml:space="preserve">   GA</v>
      </c>
      <c r="B1493" t="str">
        <f>T("   Gabon")</f>
        <v xml:space="preserve">   Gabon</v>
      </c>
      <c r="C1493">
        <v>15542058</v>
      </c>
      <c r="D1493">
        <v>15113</v>
      </c>
    </row>
    <row r="1494" spans="1:4" x14ac:dyDescent="0.25">
      <c r="A1494" t="str">
        <f>T("   GB")</f>
        <v xml:space="preserve">   GB</v>
      </c>
      <c r="B1494" t="str">
        <f>T("   Royaume-Uni")</f>
        <v xml:space="preserve">   Royaume-Uni</v>
      </c>
      <c r="C1494">
        <v>1200000</v>
      </c>
      <c r="D1494">
        <v>1100</v>
      </c>
    </row>
    <row r="1495" spans="1:4" x14ac:dyDescent="0.25">
      <c r="A1495" t="str">
        <f>T("   GN")</f>
        <v xml:space="preserve">   GN</v>
      </c>
      <c r="B1495" t="str">
        <f>T("   Guinée")</f>
        <v xml:space="preserve">   Guinée</v>
      </c>
      <c r="C1495">
        <v>2000000</v>
      </c>
      <c r="D1495">
        <v>1660</v>
      </c>
    </row>
    <row r="1496" spans="1:4" x14ac:dyDescent="0.25">
      <c r="A1496" t="str">
        <f>T("   GQ")</f>
        <v xml:space="preserve">   GQ</v>
      </c>
      <c r="B1496" t="str">
        <f>T("   Guinée Equatoriale")</f>
        <v xml:space="preserve">   Guinée Equatoriale</v>
      </c>
      <c r="C1496">
        <v>12651311</v>
      </c>
      <c r="D1496">
        <v>9373</v>
      </c>
    </row>
    <row r="1497" spans="1:4" x14ac:dyDescent="0.25">
      <c r="A1497" t="str">
        <f>T("   IN")</f>
        <v xml:space="preserve">   IN</v>
      </c>
      <c r="B1497" t="str">
        <f>T("   Inde")</f>
        <v xml:space="preserve">   Inde</v>
      </c>
      <c r="C1497">
        <v>2400000</v>
      </c>
      <c r="D1497">
        <v>2150</v>
      </c>
    </row>
    <row r="1498" spans="1:4" x14ac:dyDescent="0.25">
      <c r="A1498" t="str">
        <f>T("   LB")</f>
        <v xml:space="preserve">   LB</v>
      </c>
      <c r="B1498" t="str">
        <f>T("   Liban")</f>
        <v xml:space="preserve">   Liban</v>
      </c>
      <c r="C1498">
        <v>2000000</v>
      </c>
      <c r="D1498">
        <v>21500</v>
      </c>
    </row>
    <row r="1499" spans="1:4" x14ac:dyDescent="0.25">
      <c r="A1499" t="str">
        <f>T("   LY")</f>
        <v xml:space="preserve">   LY</v>
      </c>
      <c r="B1499" t="str">
        <f>T("   Libyenne, Jamahiriya Arabe")</f>
        <v xml:space="preserve">   Libyenne, Jamahiriya Arabe</v>
      </c>
      <c r="C1499">
        <v>3000000</v>
      </c>
      <c r="D1499">
        <v>4000</v>
      </c>
    </row>
    <row r="1500" spans="1:4" x14ac:dyDescent="0.25">
      <c r="A1500" t="str">
        <f>T("   NA")</f>
        <v xml:space="preserve">   NA</v>
      </c>
      <c r="B1500" t="str">
        <f>T("   Namibie")</f>
        <v xml:space="preserve">   Namibie</v>
      </c>
      <c r="C1500">
        <v>1000000</v>
      </c>
      <c r="D1500">
        <v>1000</v>
      </c>
    </row>
    <row r="1501" spans="1:4" x14ac:dyDescent="0.25">
      <c r="A1501" t="str">
        <f>T("   SN")</f>
        <v xml:space="preserve">   SN</v>
      </c>
      <c r="B1501" t="str">
        <f>T("   Sénégal")</f>
        <v xml:space="preserve">   Sénégal</v>
      </c>
      <c r="C1501">
        <v>1000000</v>
      </c>
      <c r="D1501">
        <v>1245</v>
      </c>
    </row>
    <row r="1502" spans="1:4" x14ac:dyDescent="0.25">
      <c r="A1502" t="str">
        <f>T("   TN")</f>
        <v xml:space="preserve">   TN</v>
      </c>
      <c r="B1502" t="str">
        <f>T("   Tunisie")</f>
        <v xml:space="preserve">   Tunisie</v>
      </c>
      <c r="C1502">
        <v>1000000</v>
      </c>
      <c r="D1502">
        <v>1100</v>
      </c>
    </row>
    <row r="1503" spans="1:4" x14ac:dyDescent="0.25">
      <c r="A1503" t="str">
        <f>T("870323")</f>
        <v>870323</v>
      </c>
      <c r="B1503" t="s">
        <v>21</v>
      </c>
    </row>
    <row r="1504" spans="1:4" x14ac:dyDescent="0.25">
      <c r="A1504" t="str">
        <f>T("   ZZZ_Monde")</f>
        <v xml:space="preserve">   ZZZ_Monde</v>
      </c>
      <c r="B1504" t="str">
        <f>T("   ZZZ_Monde")</f>
        <v xml:space="preserve">   ZZZ_Monde</v>
      </c>
      <c r="C1504">
        <v>183328855</v>
      </c>
      <c r="D1504">
        <v>54904</v>
      </c>
    </row>
    <row r="1505" spans="1:4" x14ac:dyDescent="0.25">
      <c r="A1505" t="str">
        <f>T("   BE")</f>
        <v xml:space="preserve">   BE</v>
      </c>
      <c r="B1505" t="str">
        <f>T("   Belgique")</f>
        <v xml:space="preserve">   Belgique</v>
      </c>
      <c r="C1505">
        <v>6282640</v>
      </c>
      <c r="D1505">
        <v>1820</v>
      </c>
    </row>
    <row r="1506" spans="1:4" x14ac:dyDescent="0.25">
      <c r="A1506" t="str">
        <f>T("   CD")</f>
        <v xml:space="preserve">   CD</v>
      </c>
      <c r="B1506" t="str">
        <f>T("   Congo, République Démocratique")</f>
        <v xml:space="preserve">   Congo, République Démocratique</v>
      </c>
      <c r="C1506">
        <v>6624436</v>
      </c>
      <c r="D1506">
        <v>2880</v>
      </c>
    </row>
    <row r="1507" spans="1:4" x14ac:dyDescent="0.25">
      <c r="A1507" t="str">
        <f>T("   CG")</f>
        <v xml:space="preserve">   CG</v>
      </c>
      <c r="B1507" t="str">
        <f>T("   Congo (Brazzaville)")</f>
        <v xml:space="preserve">   Congo (Brazzaville)</v>
      </c>
      <c r="C1507">
        <v>9962276</v>
      </c>
      <c r="D1507">
        <v>1814</v>
      </c>
    </row>
    <row r="1508" spans="1:4" x14ac:dyDescent="0.25">
      <c r="A1508" t="str">
        <f>T("   CI")</f>
        <v xml:space="preserve">   CI</v>
      </c>
      <c r="B1508" t="str">
        <f>T("   Côte d'Ivoire")</f>
        <v xml:space="preserve">   Côte d'Ivoire</v>
      </c>
      <c r="C1508">
        <v>40941540</v>
      </c>
      <c r="D1508">
        <v>4558</v>
      </c>
    </row>
    <row r="1509" spans="1:4" x14ac:dyDescent="0.25">
      <c r="A1509" t="str">
        <f>T("   CM")</f>
        <v xml:space="preserve">   CM</v>
      </c>
      <c r="B1509" t="str">
        <f>T("   Cameroun")</f>
        <v xml:space="preserve">   Cameroun</v>
      </c>
      <c r="C1509">
        <v>1000000</v>
      </c>
      <c r="D1509">
        <v>1850</v>
      </c>
    </row>
    <row r="1510" spans="1:4" x14ac:dyDescent="0.25">
      <c r="A1510" t="str">
        <f>T("   FR")</f>
        <v xml:space="preserve">   FR</v>
      </c>
      <c r="B1510" t="str">
        <f>T("   France")</f>
        <v xml:space="preserve">   France</v>
      </c>
      <c r="C1510">
        <v>14586669</v>
      </c>
      <c r="D1510">
        <v>5280</v>
      </c>
    </row>
    <row r="1511" spans="1:4" x14ac:dyDescent="0.25">
      <c r="A1511" t="str">
        <f>T("   GA")</f>
        <v xml:space="preserve">   GA</v>
      </c>
      <c r="B1511" t="str">
        <f>T("   Gabon")</f>
        <v xml:space="preserve">   Gabon</v>
      </c>
      <c r="C1511">
        <v>28086622</v>
      </c>
      <c r="D1511">
        <v>6370</v>
      </c>
    </row>
    <row r="1512" spans="1:4" x14ac:dyDescent="0.25">
      <c r="A1512" t="str">
        <f>T("   GH")</f>
        <v xml:space="preserve">   GH</v>
      </c>
      <c r="B1512" t="str">
        <f>T("   Ghana")</f>
        <v xml:space="preserve">   Ghana</v>
      </c>
      <c r="C1512">
        <v>8434575</v>
      </c>
      <c r="D1512">
        <v>3506</v>
      </c>
    </row>
    <row r="1513" spans="1:4" x14ac:dyDescent="0.25">
      <c r="A1513" t="str">
        <f>T("   GN")</f>
        <v xml:space="preserve">   GN</v>
      </c>
      <c r="B1513" t="str">
        <f>T("   Guinée")</f>
        <v xml:space="preserve">   Guinée</v>
      </c>
      <c r="C1513">
        <v>19242383</v>
      </c>
      <c r="D1513">
        <v>3080</v>
      </c>
    </row>
    <row r="1514" spans="1:4" x14ac:dyDescent="0.25">
      <c r="A1514" t="str">
        <f>T("   GQ")</f>
        <v xml:space="preserve">   GQ</v>
      </c>
      <c r="B1514" t="str">
        <f>T("   Guinée Equatoriale")</f>
        <v xml:space="preserve">   Guinée Equatoriale</v>
      </c>
      <c r="C1514">
        <v>3400000</v>
      </c>
      <c r="D1514">
        <v>8699</v>
      </c>
    </row>
    <row r="1515" spans="1:4" x14ac:dyDescent="0.25">
      <c r="A1515" t="str">
        <f>T("   GY")</f>
        <v xml:space="preserve">   GY</v>
      </c>
      <c r="B1515" t="str">
        <f>T("   Guyane")</f>
        <v xml:space="preserve">   Guyane</v>
      </c>
      <c r="C1515">
        <v>11188936</v>
      </c>
      <c r="D1515">
        <v>1340</v>
      </c>
    </row>
    <row r="1516" spans="1:4" x14ac:dyDescent="0.25">
      <c r="A1516" t="str">
        <f>T("   KE")</f>
        <v xml:space="preserve">   KE</v>
      </c>
      <c r="B1516" t="str">
        <f>T("   Kenya")</f>
        <v xml:space="preserve">   Kenya</v>
      </c>
      <c r="C1516">
        <v>8162226</v>
      </c>
      <c r="D1516">
        <v>4150</v>
      </c>
    </row>
    <row r="1517" spans="1:4" x14ac:dyDescent="0.25">
      <c r="A1517" t="str">
        <f>T("   LB")</f>
        <v xml:space="preserve">   LB</v>
      </c>
      <c r="B1517" t="str">
        <f>T("   Liban")</f>
        <v xml:space="preserve">   Liban</v>
      </c>
      <c r="C1517">
        <v>5805246</v>
      </c>
      <c r="D1517">
        <v>1500</v>
      </c>
    </row>
    <row r="1518" spans="1:4" x14ac:dyDescent="0.25">
      <c r="A1518" t="str">
        <f>T("   NE")</f>
        <v xml:space="preserve">   NE</v>
      </c>
      <c r="B1518" t="str">
        <f>T("   Niger")</f>
        <v xml:space="preserve">   Niger</v>
      </c>
      <c r="C1518">
        <v>6294035</v>
      </c>
      <c r="D1518">
        <v>1645</v>
      </c>
    </row>
    <row r="1519" spans="1:4" x14ac:dyDescent="0.25">
      <c r="A1519" t="str">
        <f>T("   SD")</f>
        <v xml:space="preserve">   SD</v>
      </c>
      <c r="B1519" t="str">
        <f>T("   Soudan")</f>
        <v xml:space="preserve">   Soudan</v>
      </c>
      <c r="C1519">
        <v>1200000</v>
      </c>
      <c r="D1519">
        <v>1370</v>
      </c>
    </row>
    <row r="1520" spans="1:4" x14ac:dyDescent="0.25">
      <c r="A1520" t="str">
        <f>T("   US")</f>
        <v xml:space="preserve">   US</v>
      </c>
      <c r="B1520" t="str">
        <f>T("   Etats-Unis")</f>
        <v xml:space="preserve">   Etats-Unis</v>
      </c>
      <c r="C1520">
        <v>12117271</v>
      </c>
      <c r="D1520">
        <v>5042</v>
      </c>
    </row>
    <row r="1521" spans="1:4" x14ac:dyDescent="0.25">
      <c r="A1521" t="str">
        <f>T("870324")</f>
        <v>870324</v>
      </c>
      <c r="B1521" t="s">
        <v>22</v>
      </c>
    </row>
    <row r="1522" spans="1:4" x14ac:dyDescent="0.25">
      <c r="A1522" t="str">
        <f>T("   ZZZ_Monde")</f>
        <v xml:space="preserve">   ZZZ_Monde</v>
      </c>
      <c r="B1522" t="str">
        <f>T("   ZZZ_Monde")</f>
        <v xml:space="preserve">   ZZZ_Monde</v>
      </c>
      <c r="C1522">
        <v>294836426</v>
      </c>
      <c r="D1522">
        <v>23068</v>
      </c>
    </row>
    <row r="1523" spans="1:4" x14ac:dyDescent="0.25">
      <c r="A1523" t="str">
        <f>T("   CM")</f>
        <v xml:space="preserve">   CM</v>
      </c>
      <c r="B1523" t="str">
        <f>T("   Cameroun")</f>
        <v xml:space="preserve">   Cameroun</v>
      </c>
      <c r="C1523">
        <v>4638442</v>
      </c>
      <c r="D1523">
        <v>1800</v>
      </c>
    </row>
    <row r="1524" spans="1:4" x14ac:dyDescent="0.25">
      <c r="A1524" t="str">
        <f>T("   FR")</f>
        <v xml:space="preserve">   FR</v>
      </c>
      <c r="B1524" t="str">
        <f>T("   France")</f>
        <v xml:space="preserve">   France</v>
      </c>
      <c r="C1524">
        <v>222025894</v>
      </c>
      <c r="D1524">
        <v>4400</v>
      </c>
    </row>
    <row r="1525" spans="1:4" x14ac:dyDescent="0.25">
      <c r="A1525" t="str">
        <f>T("   GA")</f>
        <v xml:space="preserve">   GA</v>
      </c>
      <c r="B1525" t="str">
        <f>T("   Gabon")</f>
        <v xml:space="preserve">   Gabon</v>
      </c>
      <c r="C1525">
        <v>26264096</v>
      </c>
      <c r="D1525">
        <v>5433</v>
      </c>
    </row>
    <row r="1526" spans="1:4" x14ac:dyDescent="0.25">
      <c r="A1526" t="str">
        <f>T("   NE")</f>
        <v xml:space="preserve">   NE</v>
      </c>
      <c r="B1526" t="str">
        <f>T("   Niger")</f>
        <v xml:space="preserve">   Niger</v>
      </c>
      <c r="C1526">
        <v>19145043</v>
      </c>
      <c r="D1526">
        <v>8675</v>
      </c>
    </row>
    <row r="1527" spans="1:4" x14ac:dyDescent="0.25">
      <c r="A1527" t="str">
        <f>T("   NL")</f>
        <v xml:space="preserve">   NL</v>
      </c>
      <c r="B1527" t="str">
        <f>T("   Pays-bas")</f>
        <v xml:space="preserve">   Pays-bas</v>
      </c>
      <c r="C1527">
        <v>22762951</v>
      </c>
      <c r="D1527">
        <v>2760</v>
      </c>
    </row>
    <row r="1528" spans="1:4" x14ac:dyDescent="0.25">
      <c r="A1528" t="str">
        <f>T("870331")</f>
        <v>870331</v>
      </c>
      <c r="B1528" t="s">
        <v>23</v>
      </c>
    </row>
    <row r="1529" spans="1:4" x14ac:dyDescent="0.25">
      <c r="A1529" t="str">
        <f>T("   ZZZ_Monde")</f>
        <v xml:space="preserve">   ZZZ_Monde</v>
      </c>
      <c r="B1529" t="str">
        <f>T("   ZZZ_Monde")</f>
        <v xml:space="preserve">   ZZZ_Monde</v>
      </c>
      <c r="C1529">
        <v>5768186</v>
      </c>
      <c r="D1529">
        <v>1320</v>
      </c>
    </row>
    <row r="1530" spans="1:4" x14ac:dyDescent="0.25">
      <c r="A1530" t="str">
        <f>T("   BE")</f>
        <v xml:space="preserve">   BE</v>
      </c>
      <c r="B1530" t="str">
        <f>T("   Belgique")</f>
        <v xml:space="preserve">   Belgique</v>
      </c>
      <c r="C1530">
        <v>5768186</v>
      </c>
      <c r="D1530">
        <v>1320</v>
      </c>
    </row>
    <row r="1531" spans="1:4" x14ac:dyDescent="0.25">
      <c r="A1531" t="str">
        <f>T("870332")</f>
        <v>870332</v>
      </c>
      <c r="B1531" t="s">
        <v>24</v>
      </c>
    </row>
    <row r="1532" spans="1:4" x14ac:dyDescent="0.25">
      <c r="A1532" t="str">
        <f>T("   ZZZ_Monde")</f>
        <v xml:space="preserve">   ZZZ_Monde</v>
      </c>
      <c r="B1532" t="str">
        <f>T("   ZZZ_Monde")</f>
        <v xml:space="preserve">   ZZZ_Monde</v>
      </c>
      <c r="C1532">
        <v>16063623</v>
      </c>
      <c r="D1532">
        <v>1970</v>
      </c>
    </row>
    <row r="1533" spans="1:4" x14ac:dyDescent="0.25">
      <c r="A1533" t="str">
        <f>T("   AE")</f>
        <v xml:space="preserve">   AE</v>
      </c>
      <c r="B1533" t="str">
        <f>T("   Emirats Arabes Unis")</f>
        <v xml:space="preserve">   Emirats Arabes Unis</v>
      </c>
      <c r="C1533">
        <v>16063623</v>
      </c>
      <c r="D1533">
        <v>1970</v>
      </c>
    </row>
    <row r="1534" spans="1:4" x14ac:dyDescent="0.25">
      <c r="A1534" t="str">
        <f>T("870421")</f>
        <v>870421</v>
      </c>
      <c r="B1534" t="s">
        <v>25</v>
      </c>
    </row>
    <row r="1535" spans="1:4" x14ac:dyDescent="0.25">
      <c r="A1535" t="str">
        <f>T("   ZZZ_Monde")</f>
        <v xml:space="preserve">   ZZZ_Monde</v>
      </c>
      <c r="B1535" t="str">
        <f>T("   ZZZ_Monde")</f>
        <v xml:space="preserve">   ZZZ_Monde</v>
      </c>
      <c r="C1535">
        <v>22265820</v>
      </c>
      <c r="D1535">
        <v>10665</v>
      </c>
    </row>
    <row r="1536" spans="1:4" x14ac:dyDescent="0.25">
      <c r="A1536" t="str">
        <f>T("   CD")</f>
        <v xml:space="preserve">   CD</v>
      </c>
      <c r="B1536" t="str">
        <f>T("   Congo, République Démocratique")</f>
        <v xml:space="preserve">   Congo, République Démocratique</v>
      </c>
      <c r="C1536">
        <v>1000000</v>
      </c>
      <c r="D1536">
        <v>1870</v>
      </c>
    </row>
    <row r="1537" spans="1:4" x14ac:dyDescent="0.25">
      <c r="A1537" t="str">
        <f>T("   CI")</f>
        <v xml:space="preserve">   CI</v>
      </c>
      <c r="B1537" t="str">
        <f>T("   Côte d'Ivoire")</f>
        <v xml:space="preserve">   Côte d'Ivoire</v>
      </c>
      <c r="C1537">
        <v>5899046</v>
      </c>
      <c r="D1537">
        <v>1790</v>
      </c>
    </row>
    <row r="1538" spans="1:4" x14ac:dyDescent="0.25">
      <c r="A1538" t="str">
        <f>T("   GQ")</f>
        <v xml:space="preserve">   GQ</v>
      </c>
      <c r="B1538" t="str">
        <f>T("   Guinée Equatoriale")</f>
        <v xml:space="preserve">   Guinée Equatoriale</v>
      </c>
      <c r="C1538">
        <v>1000000</v>
      </c>
      <c r="D1538">
        <v>3540</v>
      </c>
    </row>
    <row r="1539" spans="1:4" x14ac:dyDescent="0.25">
      <c r="A1539" t="str">
        <f>T("   SN")</f>
        <v xml:space="preserve">   SN</v>
      </c>
      <c r="B1539" t="str">
        <f>T("   Sénégal")</f>
        <v xml:space="preserve">   Sénégal</v>
      </c>
      <c r="C1539">
        <v>14366774</v>
      </c>
      <c r="D1539">
        <v>3465</v>
      </c>
    </row>
    <row r="1540" spans="1:4" x14ac:dyDescent="0.25">
      <c r="A1540" t="str">
        <f>T("870422")</f>
        <v>870422</v>
      </c>
      <c r="B1540" t="s">
        <v>26</v>
      </c>
    </row>
    <row r="1541" spans="1:4" x14ac:dyDescent="0.25">
      <c r="A1541" t="str">
        <f>T("   ZZZ_Monde")</f>
        <v xml:space="preserve">   ZZZ_Monde</v>
      </c>
      <c r="B1541" t="str">
        <f>T("   ZZZ_Monde")</f>
        <v xml:space="preserve">   ZZZ_Monde</v>
      </c>
      <c r="C1541">
        <v>2329887</v>
      </c>
      <c r="D1541">
        <v>29745</v>
      </c>
    </row>
    <row r="1542" spans="1:4" x14ac:dyDescent="0.25">
      <c r="A1542" t="str">
        <f>T("   BF")</f>
        <v xml:space="preserve">   BF</v>
      </c>
      <c r="B1542" t="str">
        <f>T("   Burkina Faso")</f>
        <v xml:space="preserve">   Burkina Faso</v>
      </c>
      <c r="C1542">
        <v>1775834</v>
      </c>
      <c r="D1542">
        <v>10657</v>
      </c>
    </row>
    <row r="1543" spans="1:4" x14ac:dyDescent="0.25">
      <c r="A1543" t="str">
        <f>T("   CI")</f>
        <v xml:space="preserve">   CI</v>
      </c>
      <c r="B1543" t="str">
        <f>T("   Côte d'Ivoire")</f>
        <v xml:space="preserve">   Côte d'Ivoire</v>
      </c>
      <c r="C1543">
        <v>307200</v>
      </c>
      <c r="D1543">
        <v>12130</v>
      </c>
    </row>
    <row r="1544" spans="1:4" x14ac:dyDescent="0.25">
      <c r="A1544" t="str">
        <f>T("   TG")</f>
        <v xml:space="preserve">   TG</v>
      </c>
      <c r="B1544" t="str">
        <f>T("   Togo")</f>
        <v xml:space="preserve">   Togo</v>
      </c>
      <c r="C1544">
        <v>246853</v>
      </c>
      <c r="D1544">
        <v>6958</v>
      </c>
    </row>
    <row r="1545" spans="1:4" x14ac:dyDescent="0.25">
      <c r="A1545" t="str">
        <f>T("870423")</f>
        <v>870423</v>
      </c>
      <c r="B1545" t="s">
        <v>27</v>
      </c>
    </row>
    <row r="1546" spans="1:4" x14ac:dyDescent="0.25">
      <c r="A1546" t="str">
        <f>T("   ZZZ_Monde")</f>
        <v xml:space="preserve">   ZZZ_Monde</v>
      </c>
      <c r="B1546" t="str">
        <f>T("   ZZZ_Monde")</f>
        <v xml:space="preserve">   ZZZ_Monde</v>
      </c>
      <c r="C1546">
        <v>77296647</v>
      </c>
      <c r="D1546">
        <v>240332.75</v>
      </c>
    </row>
    <row r="1547" spans="1:4" x14ac:dyDescent="0.25">
      <c r="A1547" t="str">
        <f>T("   BF")</f>
        <v xml:space="preserve">   BF</v>
      </c>
      <c r="B1547" t="str">
        <f>T("   Burkina Faso")</f>
        <v xml:space="preserve">   Burkina Faso</v>
      </c>
      <c r="C1547">
        <v>57951600</v>
      </c>
      <c r="D1547">
        <v>96000</v>
      </c>
    </row>
    <row r="1548" spans="1:4" x14ac:dyDescent="0.25">
      <c r="A1548" t="str">
        <f>T("   CG")</f>
        <v xml:space="preserve">   CG</v>
      </c>
      <c r="B1548" t="str">
        <f>T("   Congo (Brazzaville)")</f>
        <v xml:space="preserve">   Congo (Brazzaville)</v>
      </c>
      <c r="C1548">
        <v>9672524</v>
      </c>
      <c r="D1548">
        <v>72167</v>
      </c>
    </row>
    <row r="1549" spans="1:4" x14ac:dyDescent="0.25">
      <c r="A1549" t="str">
        <f>T("   NG")</f>
        <v xml:space="preserve">   NG</v>
      </c>
      <c r="B1549" t="str">
        <f>T("   Nigéria")</f>
        <v xml:space="preserve">   Nigéria</v>
      </c>
      <c r="C1549">
        <v>9672523</v>
      </c>
      <c r="D1549">
        <v>72165.75</v>
      </c>
    </row>
    <row r="1550" spans="1:4" x14ac:dyDescent="0.25">
      <c r="A1550" t="str">
        <f>T("870431")</f>
        <v>870431</v>
      </c>
      <c r="B1550" t="s">
        <v>28</v>
      </c>
    </row>
    <row r="1551" spans="1:4" x14ac:dyDescent="0.25">
      <c r="A1551" t="str">
        <f>T("   ZZZ_Monde")</f>
        <v xml:space="preserve">   ZZZ_Monde</v>
      </c>
      <c r="B1551" t="str">
        <f>T("   ZZZ_Monde")</f>
        <v xml:space="preserve">   ZZZ_Monde</v>
      </c>
      <c r="C1551">
        <v>9128548</v>
      </c>
      <c r="D1551">
        <v>3960</v>
      </c>
    </row>
    <row r="1552" spans="1:4" x14ac:dyDescent="0.25">
      <c r="A1552" t="str">
        <f>T("   CD")</f>
        <v xml:space="preserve">   CD</v>
      </c>
      <c r="B1552" t="str">
        <f>T("   Congo, République Démocratique")</f>
        <v xml:space="preserve">   Congo, République Démocratique</v>
      </c>
      <c r="C1552">
        <v>2000000</v>
      </c>
      <c r="D1552">
        <v>2180</v>
      </c>
    </row>
    <row r="1553" spans="1:4" x14ac:dyDescent="0.25">
      <c r="A1553" t="str">
        <f>T("   CG")</f>
        <v xml:space="preserve">   CG</v>
      </c>
      <c r="B1553" t="str">
        <f>T("   Congo (Brazzaville)")</f>
        <v xml:space="preserve">   Congo (Brazzaville)</v>
      </c>
      <c r="C1553">
        <v>7128548</v>
      </c>
      <c r="D1553">
        <v>1780</v>
      </c>
    </row>
    <row r="1554" spans="1:4" x14ac:dyDescent="0.25">
      <c r="A1554" t="str">
        <f>T("870510")</f>
        <v>870510</v>
      </c>
      <c r="B1554" t="str">
        <f>T("Camions-grues (sauf dépanneuses)")</f>
        <v>Camions-grues (sauf dépanneuses)</v>
      </c>
    </row>
    <row r="1555" spans="1:4" x14ac:dyDescent="0.25">
      <c r="A1555" t="str">
        <f>T("   ZZZ_Monde")</f>
        <v xml:space="preserve">   ZZZ_Monde</v>
      </c>
      <c r="B1555" t="str">
        <f>T("   ZZZ_Monde")</f>
        <v xml:space="preserve">   ZZZ_Monde</v>
      </c>
      <c r="C1555">
        <v>37669794</v>
      </c>
      <c r="D1555">
        <v>21380</v>
      </c>
    </row>
    <row r="1556" spans="1:4" x14ac:dyDescent="0.25">
      <c r="A1556" t="str">
        <f>T("   CI")</f>
        <v xml:space="preserve">   CI</v>
      </c>
      <c r="B1556" t="str">
        <f>T("   Côte d'Ivoire")</f>
        <v xml:space="preserve">   Côte d'Ivoire</v>
      </c>
      <c r="C1556">
        <v>37669794</v>
      </c>
      <c r="D1556">
        <v>21380</v>
      </c>
    </row>
    <row r="1557" spans="1:4" x14ac:dyDescent="0.25">
      <c r="A1557" t="str">
        <f>T("870540")</f>
        <v>870540</v>
      </c>
      <c r="B1557" t="str">
        <f>T("Camions-bétonnières")</f>
        <v>Camions-bétonnières</v>
      </c>
    </row>
    <row r="1558" spans="1:4" x14ac:dyDescent="0.25">
      <c r="A1558" t="str">
        <f>T("   ZZZ_Monde")</f>
        <v xml:space="preserve">   ZZZ_Monde</v>
      </c>
      <c r="B1558" t="str">
        <f>T("   ZZZ_Monde")</f>
        <v xml:space="preserve">   ZZZ_Monde</v>
      </c>
      <c r="C1558">
        <v>97546501</v>
      </c>
      <c r="D1558">
        <v>29600</v>
      </c>
    </row>
    <row r="1559" spans="1:4" x14ac:dyDescent="0.25">
      <c r="A1559" t="str">
        <f>T("   BF")</f>
        <v xml:space="preserve">   BF</v>
      </c>
      <c r="B1559" t="str">
        <f>T("   Burkina Faso")</f>
        <v xml:space="preserve">   Burkina Faso</v>
      </c>
      <c r="C1559">
        <v>97546501</v>
      </c>
      <c r="D1559">
        <v>29600</v>
      </c>
    </row>
    <row r="1560" spans="1:4" x14ac:dyDescent="0.25">
      <c r="A1560" t="str">
        <f>T("870590")</f>
        <v>870590</v>
      </c>
      <c r="B1560" t="str">
        <f>T("Véhicules automobiles à usages spéciaux (autres que ceux principalement conçus pour le transport de personnes ou de marchandises et sauf camions-béonnières, voitures de lutte contre l'incendie, derricks automobiles pour le sondage ou le forage, camions-gr")</f>
        <v>Véhicules automobiles à usages spéciaux (autres que ceux principalement conçus pour le transport de personnes ou de marchandises et sauf camions-béonnières, voitures de lutte contre l'incendie, derricks automobiles pour le sondage ou le forage, camions-gr</v>
      </c>
    </row>
    <row r="1561" spans="1:4" x14ac:dyDescent="0.25">
      <c r="A1561" t="str">
        <f>T("   ZZZ_Monde")</f>
        <v xml:space="preserve">   ZZZ_Monde</v>
      </c>
      <c r="B1561" t="str">
        <f>T("   ZZZ_Monde")</f>
        <v xml:space="preserve">   ZZZ_Monde</v>
      </c>
      <c r="C1561">
        <v>63237666</v>
      </c>
      <c r="D1561">
        <v>16150</v>
      </c>
    </row>
    <row r="1562" spans="1:4" x14ac:dyDescent="0.25">
      <c r="A1562" t="str">
        <f>T("   DE")</f>
        <v xml:space="preserve">   DE</v>
      </c>
      <c r="B1562" t="str">
        <f>T("   Allemagne")</f>
        <v xml:space="preserve">   Allemagne</v>
      </c>
      <c r="C1562">
        <v>60837666</v>
      </c>
      <c r="D1562">
        <v>6150</v>
      </c>
    </row>
    <row r="1563" spans="1:4" x14ac:dyDescent="0.25">
      <c r="A1563" t="str">
        <f>T("   LB")</f>
        <v xml:space="preserve">   LB</v>
      </c>
      <c r="B1563" t="str">
        <f>T("   Liban")</f>
        <v xml:space="preserve">   Liban</v>
      </c>
      <c r="C1563">
        <v>2400000</v>
      </c>
      <c r="D1563">
        <v>10000</v>
      </c>
    </row>
    <row r="1564" spans="1:4" x14ac:dyDescent="0.25">
      <c r="A1564" t="str">
        <f>T("870600")</f>
        <v>870600</v>
      </c>
      <c r="B1564" t="str">
        <f>T("CHÂSSIS DE TRACTEURS, VÉHICULES POUR LE TRANSPORT DE &gt;= 10 PERSONNES, CHAUFFEUR INCLUS, VOITURES DE TOURISME, VÉHICULES POUR LE TRANSPORT DE MARCHANDISES ET VÉHICULES À USAGES SPÉCIAUX DU N° 8701 À 8705, ÉQUIPÉS DE LEUR MOTEUR (SAUF AVEC MOTEUR ET CABINE)")</f>
        <v>CHÂSSIS DE TRACTEURS, VÉHICULES POUR LE TRANSPORT DE &gt;= 10 PERSONNES, CHAUFFEUR INCLUS, VOITURES DE TOURISME, VÉHICULES POUR LE TRANSPORT DE MARCHANDISES ET VÉHICULES À USAGES SPÉCIAUX DU N° 8701 À 8705, ÉQUIPÉS DE LEUR MOTEUR (SAUF AVEC MOTEUR ET CABINE)</v>
      </c>
    </row>
    <row r="1565" spans="1:4" x14ac:dyDescent="0.25">
      <c r="A1565" t="str">
        <f>T("   ZZZ_Monde")</f>
        <v xml:space="preserve">   ZZZ_Monde</v>
      </c>
      <c r="B1565" t="str">
        <f>T("   ZZZ_Monde")</f>
        <v xml:space="preserve">   ZZZ_Monde</v>
      </c>
      <c r="C1565">
        <v>3800000</v>
      </c>
      <c r="D1565">
        <v>3730</v>
      </c>
    </row>
    <row r="1566" spans="1:4" x14ac:dyDescent="0.25">
      <c r="A1566" t="str">
        <f>T("   GA")</f>
        <v xml:space="preserve">   GA</v>
      </c>
      <c r="B1566" t="str">
        <f>T("   Gabon")</f>
        <v xml:space="preserve">   Gabon</v>
      </c>
      <c r="C1566">
        <v>3300000</v>
      </c>
      <c r="D1566">
        <v>3660</v>
      </c>
    </row>
    <row r="1567" spans="1:4" x14ac:dyDescent="0.25">
      <c r="A1567" t="str">
        <f>T("   GQ")</f>
        <v xml:space="preserve">   GQ</v>
      </c>
      <c r="B1567" t="str">
        <f>T("   Guinée Equatoriale")</f>
        <v xml:space="preserve">   Guinée Equatoriale</v>
      </c>
      <c r="C1567">
        <v>500000</v>
      </c>
      <c r="D1567">
        <v>70</v>
      </c>
    </row>
    <row r="1568" spans="1:4" x14ac:dyDescent="0.25">
      <c r="A1568" t="str">
        <f>T("870899")</f>
        <v>870899</v>
      </c>
      <c r="B1568" t="str">
        <f>T("PARTIES ET ACCESSOIRES, POUR TRACTEURS, VÉHICULES POUR LE TRANSPORT DE &gt;= 10 PERSONNES, CHAUFFEUR INCLUS, VOITURES DE TOURISME, VÉHICULES POUR LE TRANSPORT DE MARCHANDISES ET VÉHICULES À USAGES SPÉCIAUX, N.D.A.")</f>
        <v>PARTIES ET ACCESSOIRES, POUR TRACTEURS, VÉHICULES POUR LE TRANSPORT DE &gt;= 10 PERSONNES, CHAUFFEUR INCLUS, VOITURES DE TOURISME, VÉHICULES POUR LE TRANSPORT DE MARCHANDISES ET VÉHICULES À USAGES SPÉCIAUX, N.D.A.</v>
      </c>
    </row>
    <row r="1569" spans="1:4" x14ac:dyDescent="0.25">
      <c r="A1569" t="str">
        <f>T("   ZZZ_Monde")</f>
        <v xml:space="preserve">   ZZZ_Monde</v>
      </c>
      <c r="B1569" t="str">
        <f>T("   ZZZ_Monde")</f>
        <v xml:space="preserve">   ZZZ_Monde</v>
      </c>
      <c r="C1569">
        <v>7776200</v>
      </c>
      <c r="D1569">
        <v>56500</v>
      </c>
    </row>
    <row r="1570" spans="1:4" x14ac:dyDescent="0.25">
      <c r="A1570" t="str">
        <f>T("   GA")</f>
        <v xml:space="preserve">   GA</v>
      </c>
      <c r="B1570" t="str">
        <f>T("   Gabon")</f>
        <v xml:space="preserve">   Gabon</v>
      </c>
      <c r="C1570">
        <v>460000</v>
      </c>
      <c r="D1570">
        <v>26000</v>
      </c>
    </row>
    <row r="1571" spans="1:4" x14ac:dyDescent="0.25">
      <c r="A1571" t="str">
        <f>T("   GQ")</f>
        <v xml:space="preserve">   GQ</v>
      </c>
      <c r="B1571" t="str">
        <f>T("   Guinée Equatoriale")</f>
        <v xml:space="preserve">   Guinée Equatoriale</v>
      </c>
      <c r="C1571">
        <v>2816200</v>
      </c>
      <c r="D1571">
        <v>3000</v>
      </c>
    </row>
    <row r="1572" spans="1:4" x14ac:dyDescent="0.25">
      <c r="A1572" t="str">
        <f>T("   LB")</f>
        <v xml:space="preserve">   LB</v>
      </c>
      <c r="B1572" t="str">
        <f>T("   Liban")</f>
        <v xml:space="preserve">   Liban</v>
      </c>
      <c r="C1572">
        <v>4500000</v>
      </c>
      <c r="D1572">
        <v>27500</v>
      </c>
    </row>
    <row r="1573" spans="1:4" x14ac:dyDescent="0.25">
      <c r="A1573" t="str">
        <f>T("871120")</f>
        <v>871120</v>
      </c>
      <c r="B1573" t="str">
        <f>T("Motocycles à moteur à piston alternatif, cylindrée &gt; 50 cm³ mais &lt;= 250 cm³")</f>
        <v>Motocycles à moteur à piston alternatif, cylindrée &gt; 50 cm³ mais &lt;= 250 cm³</v>
      </c>
    </row>
    <row r="1574" spans="1:4" x14ac:dyDescent="0.25">
      <c r="A1574" t="str">
        <f>T("   ZZZ_Monde")</f>
        <v xml:space="preserve">   ZZZ_Monde</v>
      </c>
      <c r="B1574" t="str">
        <f>T("   ZZZ_Monde")</f>
        <v xml:space="preserve">   ZZZ_Monde</v>
      </c>
      <c r="C1574">
        <v>116095389</v>
      </c>
      <c r="D1574">
        <v>67599</v>
      </c>
    </row>
    <row r="1575" spans="1:4" x14ac:dyDescent="0.25">
      <c r="A1575" t="str">
        <f>T("   CH")</f>
        <v xml:space="preserve">   CH</v>
      </c>
      <c r="B1575" t="str">
        <f>T("   Suisse")</f>
        <v xml:space="preserve">   Suisse</v>
      </c>
      <c r="C1575">
        <v>72720271</v>
      </c>
      <c r="D1575">
        <v>40000</v>
      </c>
    </row>
    <row r="1576" spans="1:4" x14ac:dyDescent="0.25">
      <c r="A1576" t="str">
        <f>T("   FR")</f>
        <v xml:space="preserve">   FR</v>
      </c>
      <c r="B1576" t="str">
        <f>T("   France")</f>
        <v xml:space="preserve">   France</v>
      </c>
      <c r="C1576">
        <v>1650000</v>
      </c>
      <c r="D1576">
        <v>450</v>
      </c>
    </row>
    <row r="1577" spans="1:4" x14ac:dyDescent="0.25">
      <c r="A1577" t="str">
        <f>T("   GA")</f>
        <v xml:space="preserve">   GA</v>
      </c>
      <c r="B1577" t="str">
        <f>T("   Gabon")</f>
        <v xml:space="preserve">   Gabon</v>
      </c>
      <c r="C1577">
        <v>3850000</v>
      </c>
      <c r="D1577">
        <v>3032</v>
      </c>
    </row>
    <row r="1578" spans="1:4" x14ac:dyDescent="0.25">
      <c r="A1578" t="str">
        <f>T("   GN")</f>
        <v xml:space="preserve">   GN</v>
      </c>
      <c r="B1578" t="str">
        <f>T("   Guinée")</f>
        <v xml:space="preserve">   Guinée</v>
      </c>
      <c r="C1578">
        <v>15060118</v>
      </c>
      <c r="D1578">
        <v>8255</v>
      </c>
    </row>
    <row r="1579" spans="1:4" x14ac:dyDescent="0.25">
      <c r="A1579" t="str">
        <f>T("   GQ")</f>
        <v xml:space="preserve">   GQ</v>
      </c>
      <c r="B1579" t="str">
        <f>T("   Guinée Equatoriale")</f>
        <v xml:space="preserve">   Guinée Equatoriale</v>
      </c>
      <c r="C1579">
        <v>285000</v>
      </c>
      <c r="D1579">
        <v>80</v>
      </c>
    </row>
    <row r="1580" spans="1:4" x14ac:dyDescent="0.25">
      <c r="A1580" t="str">
        <f>T("   NE")</f>
        <v xml:space="preserve">   NE</v>
      </c>
      <c r="B1580" t="str">
        <f>T("   Niger")</f>
        <v xml:space="preserve">   Niger</v>
      </c>
      <c r="C1580">
        <v>210000</v>
      </c>
      <c r="D1580">
        <v>220</v>
      </c>
    </row>
    <row r="1581" spans="1:4" x14ac:dyDescent="0.25">
      <c r="A1581" t="str">
        <f>T("   TG")</f>
        <v xml:space="preserve">   TG</v>
      </c>
      <c r="B1581" t="str">
        <f>T("   Togo")</f>
        <v xml:space="preserve">   Togo</v>
      </c>
      <c r="C1581">
        <v>22320000</v>
      </c>
      <c r="D1581">
        <v>15562</v>
      </c>
    </row>
    <row r="1582" spans="1:4" x14ac:dyDescent="0.25">
      <c r="A1582" t="str">
        <f>T("871130")</f>
        <v>871130</v>
      </c>
      <c r="B1582" t="str">
        <f>T("Motocycles à moteur à piston alternatif, cylindrée &gt; 250 cm³ mais &lt;= 500 cm³")</f>
        <v>Motocycles à moteur à piston alternatif, cylindrée &gt; 250 cm³ mais &lt;= 500 cm³</v>
      </c>
    </row>
    <row r="1583" spans="1:4" x14ac:dyDescent="0.25">
      <c r="A1583" t="str">
        <f>T("   ZZZ_Monde")</f>
        <v xml:space="preserve">   ZZZ_Monde</v>
      </c>
      <c r="B1583" t="str">
        <f>T("   ZZZ_Monde")</f>
        <v xml:space="preserve">   ZZZ_Monde</v>
      </c>
      <c r="C1583">
        <v>6121713</v>
      </c>
      <c r="D1583">
        <v>500</v>
      </c>
    </row>
    <row r="1584" spans="1:4" x14ac:dyDescent="0.25">
      <c r="A1584" t="str">
        <f>T("   GA")</f>
        <v xml:space="preserve">   GA</v>
      </c>
      <c r="B1584" t="str">
        <f>T("   Gabon")</f>
        <v xml:space="preserve">   Gabon</v>
      </c>
      <c r="C1584">
        <v>6121713</v>
      </c>
      <c r="D1584">
        <v>500</v>
      </c>
    </row>
    <row r="1585" spans="1:4" x14ac:dyDescent="0.25">
      <c r="A1585" t="str">
        <f>T("871140")</f>
        <v>871140</v>
      </c>
      <c r="B1585" t="str">
        <f>T("Motocycles à moteur à piston alternatif, cylindrée &gt; 500 cm³ mais &lt;= 800 cm³")</f>
        <v>Motocycles à moteur à piston alternatif, cylindrée &gt; 500 cm³ mais &lt;= 800 cm³</v>
      </c>
    </row>
    <row r="1586" spans="1:4" x14ac:dyDescent="0.25">
      <c r="A1586" t="str">
        <f>T("   ZZZ_Monde")</f>
        <v xml:space="preserve">   ZZZ_Monde</v>
      </c>
      <c r="B1586" t="str">
        <f>T("   ZZZ_Monde")</f>
        <v xml:space="preserve">   ZZZ_Monde</v>
      </c>
      <c r="C1586">
        <v>14941741</v>
      </c>
      <c r="D1586">
        <v>5500</v>
      </c>
    </row>
    <row r="1587" spans="1:4" x14ac:dyDescent="0.25">
      <c r="A1587" t="str">
        <f>T("   FR")</f>
        <v xml:space="preserve">   FR</v>
      </c>
      <c r="B1587" t="str">
        <f>T("   France")</f>
        <v xml:space="preserve">   France</v>
      </c>
      <c r="C1587">
        <v>5958437</v>
      </c>
      <c r="D1587">
        <v>5000</v>
      </c>
    </row>
    <row r="1588" spans="1:4" x14ac:dyDescent="0.25">
      <c r="A1588" t="str">
        <f>T("   GA")</f>
        <v xml:space="preserve">   GA</v>
      </c>
      <c r="B1588" t="str">
        <f>T("   Gabon")</f>
        <v xml:space="preserve">   Gabon</v>
      </c>
      <c r="C1588">
        <v>8983304</v>
      </c>
      <c r="D1588">
        <v>500</v>
      </c>
    </row>
    <row r="1589" spans="1:4" x14ac:dyDescent="0.25">
      <c r="A1589" t="str">
        <f>T("871190")</f>
        <v>871190</v>
      </c>
      <c r="B1589" t="str">
        <f>T("Side-cars")</f>
        <v>Side-cars</v>
      </c>
    </row>
    <row r="1590" spans="1:4" x14ac:dyDescent="0.25">
      <c r="A1590" t="str">
        <f>T("   ZZZ_Monde")</f>
        <v xml:space="preserve">   ZZZ_Monde</v>
      </c>
      <c r="B1590" t="str">
        <f>T("   ZZZ_Monde")</f>
        <v xml:space="preserve">   ZZZ_Monde</v>
      </c>
      <c r="C1590">
        <v>1100000</v>
      </c>
      <c r="D1590">
        <v>800</v>
      </c>
    </row>
    <row r="1591" spans="1:4" x14ac:dyDescent="0.25">
      <c r="A1591" t="str">
        <f>T("   CI")</f>
        <v xml:space="preserve">   CI</v>
      </c>
      <c r="B1591" t="str">
        <f>T("   Côte d'Ivoire")</f>
        <v xml:space="preserve">   Côte d'Ivoire</v>
      </c>
      <c r="C1591">
        <v>800000</v>
      </c>
      <c r="D1591">
        <v>200</v>
      </c>
    </row>
    <row r="1592" spans="1:4" x14ac:dyDescent="0.25">
      <c r="A1592" t="str">
        <f>T("   FR")</f>
        <v xml:space="preserve">   FR</v>
      </c>
      <c r="B1592" t="str">
        <f>T("   France")</f>
        <v xml:space="preserve">   France</v>
      </c>
      <c r="C1592">
        <v>300000</v>
      </c>
      <c r="D1592">
        <v>600</v>
      </c>
    </row>
    <row r="1593" spans="1:4" x14ac:dyDescent="0.25">
      <c r="A1593" t="str">
        <f>T("871419")</f>
        <v>871419</v>
      </c>
      <c r="B1593" t="str">
        <f>T("Parties et accessoires de motocycles, y.c. de cyclomoteurs, n.d.a.")</f>
        <v>Parties et accessoires de motocycles, y.c. de cyclomoteurs, n.d.a.</v>
      </c>
    </row>
    <row r="1594" spans="1:4" x14ac:dyDescent="0.25">
      <c r="A1594" t="str">
        <f>T("   ZZZ_Monde")</f>
        <v xml:space="preserve">   ZZZ_Monde</v>
      </c>
      <c r="B1594" t="str">
        <f>T("   ZZZ_Monde")</f>
        <v xml:space="preserve">   ZZZ_Monde</v>
      </c>
      <c r="C1594">
        <v>1000000</v>
      </c>
      <c r="D1594">
        <v>18915</v>
      </c>
    </row>
    <row r="1595" spans="1:4" x14ac:dyDescent="0.25">
      <c r="A1595" t="str">
        <f>T("   MG")</f>
        <v xml:space="preserve">   MG</v>
      </c>
      <c r="B1595" t="str">
        <f>T("   Madagascar")</f>
        <v xml:space="preserve">   Madagascar</v>
      </c>
      <c r="C1595">
        <v>1000000</v>
      </c>
      <c r="D1595">
        <v>18915</v>
      </c>
    </row>
    <row r="1596" spans="1:4" x14ac:dyDescent="0.25">
      <c r="A1596" t="str">
        <f>T("871640")</f>
        <v>871640</v>
      </c>
      <c r="B1596" t="str">
        <f>T("Remorques ne circulant pas sur rails (à l'excl. des remorques pour le transport de marchandises et remorques pour l'habitation ou le camping, du type caravane)")</f>
        <v>Remorques ne circulant pas sur rails (à l'excl. des remorques pour le transport de marchandises et remorques pour l'habitation ou le camping, du type caravane)</v>
      </c>
    </row>
    <row r="1597" spans="1:4" x14ac:dyDescent="0.25">
      <c r="A1597" t="str">
        <f>T("   ZZZ_Monde")</f>
        <v xml:space="preserve">   ZZZ_Monde</v>
      </c>
      <c r="B1597" t="str">
        <f>T("   ZZZ_Monde")</f>
        <v xml:space="preserve">   ZZZ_Monde</v>
      </c>
      <c r="C1597">
        <v>315492</v>
      </c>
      <c r="D1597">
        <v>12500</v>
      </c>
    </row>
    <row r="1598" spans="1:4" x14ac:dyDescent="0.25">
      <c r="A1598" t="str">
        <f>T("   BF")</f>
        <v xml:space="preserve">   BF</v>
      </c>
      <c r="B1598" t="str">
        <f>T("   Burkina Faso")</f>
        <v xml:space="preserve">   Burkina Faso</v>
      </c>
      <c r="C1598">
        <v>315492</v>
      </c>
      <c r="D1598">
        <v>12500</v>
      </c>
    </row>
    <row r="1599" spans="1:4" x14ac:dyDescent="0.25">
      <c r="A1599" t="str">
        <f>T("900921")</f>
        <v>900921</v>
      </c>
      <c r="B1599" t="str">
        <f>T("Appareils de photocopie à système optique (autres qu'électrostatiques)")</f>
        <v>Appareils de photocopie à système optique (autres qu'électrostatiques)</v>
      </c>
    </row>
    <row r="1600" spans="1:4" x14ac:dyDescent="0.25">
      <c r="A1600" t="str">
        <f>T("   ZZZ_Monde")</f>
        <v xml:space="preserve">   ZZZ_Monde</v>
      </c>
      <c r="B1600" t="str">
        <f>T("   ZZZ_Monde")</f>
        <v xml:space="preserve">   ZZZ_Monde</v>
      </c>
      <c r="C1600">
        <v>2850000</v>
      </c>
      <c r="D1600">
        <v>350</v>
      </c>
    </row>
    <row r="1601" spans="1:4" x14ac:dyDescent="0.25">
      <c r="A1601" t="str">
        <f>T("   NG")</f>
        <v xml:space="preserve">   NG</v>
      </c>
      <c r="B1601" t="str">
        <f>T("   Nigéria")</f>
        <v xml:space="preserve">   Nigéria</v>
      </c>
      <c r="C1601">
        <v>2850000</v>
      </c>
      <c r="D1601">
        <v>350</v>
      </c>
    </row>
    <row r="1602" spans="1:4" x14ac:dyDescent="0.25">
      <c r="A1602" t="str">
        <f>T("901010")</f>
        <v>901010</v>
      </c>
      <c r="B1602" t="str">
        <f>T("Appareils et matériel pour le développement automatique des pellicules photographiques, des films cinématographiques ou du papier photographique en rouleaux ou pour l'impression automatique des pellicules développées sur des rouleaux de papier photographi")</f>
        <v>Appareils et matériel pour le développement automatique des pellicules photographiques, des films cinématographiques ou du papier photographique en rouleaux ou pour l'impression automatique des pellicules développées sur des rouleaux de papier photographi</v>
      </c>
    </row>
    <row r="1603" spans="1:4" x14ac:dyDescent="0.25">
      <c r="A1603" t="str">
        <f>T("   ZZZ_Monde")</f>
        <v xml:space="preserve">   ZZZ_Monde</v>
      </c>
      <c r="B1603" t="str">
        <f>T("   ZZZ_Monde")</f>
        <v xml:space="preserve">   ZZZ_Monde</v>
      </c>
      <c r="C1603">
        <v>4000000</v>
      </c>
      <c r="D1603">
        <v>16000</v>
      </c>
    </row>
    <row r="1604" spans="1:4" x14ac:dyDescent="0.25">
      <c r="A1604" t="str">
        <f>T("   CI")</f>
        <v xml:space="preserve">   CI</v>
      </c>
      <c r="B1604" t="str">
        <f>T("   Côte d'Ivoire")</f>
        <v xml:space="preserve">   Côte d'Ivoire</v>
      </c>
      <c r="C1604">
        <v>4000000</v>
      </c>
      <c r="D1604">
        <v>16000</v>
      </c>
    </row>
    <row r="1605" spans="1:4" x14ac:dyDescent="0.25">
      <c r="A1605" t="str">
        <f>T("901380")</f>
        <v>901380</v>
      </c>
      <c r="B1605" t="str">
        <f>T("DISPOSITIFS À CRISTAUX LIQUIDES, N.D.A., ET AUTRES APPAREILS ET INSTRUMENTS D'OPTIQUE, N.D.A. DANS LE PRÉSENT CHAPITRE")</f>
        <v>DISPOSITIFS À CRISTAUX LIQUIDES, N.D.A., ET AUTRES APPAREILS ET INSTRUMENTS D'OPTIQUE, N.D.A. DANS LE PRÉSENT CHAPITRE</v>
      </c>
    </row>
    <row r="1606" spans="1:4" x14ac:dyDescent="0.25">
      <c r="A1606" t="str">
        <f>T("   ZZZ_Monde")</f>
        <v xml:space="preserve">   ZZZ_Monde</v>
      </c>
      <c r="B1606" t="str">
        <f>T("   ZZZ_Monde")</f>
        <v xml:space="preserve">   ZZZ_Monde</v>
      </c>
      <c r="C1606">
        <v>384331</v>
      </c>
      <c r="D1606">
        <v>29</v>
      </c>
    </row>
    <row r="1607" spans="1:4" x14ac:dyDescent="0.25">
      <c r="A1607" t="str">
        <f>T("   CI")</f>
        <v xml:space="preserve">   CI</v>
      </c>
      <c r="B1607" t="str">
        <f>T("   Côte d'Ivoire")</f>
        <v xml:space="preserve">   Côte d'Ivoire</v>
      </c>
      <c r="C1607">
        <v>384331</v>
      </c>
      <c r="D1607">
        <v>29</v>
      </c>
    </row>
    <row r="1608" spans="1:4" x14ac:dyDescent="0.25">
      <c r="A1608" t="str">
        <f>T("901730")</f>
        <v>901730</v>
      </c>
      <c r="B1608" t="str">
        <f>T("Micromètres, pieds à coulisses, calibres et jauges")</f>
        <v>Micromètres, pieds à coulisses, calibres et jauges</v>
      </c>
    </row>
    <row r="1609" spans="1:4" x14ac:dyDescent="0.25">
      <c r="A1609" t="str">
        <f>T("   ZZZ_Monde")</f>
        <v xml:space="preserve">   ZZZ_Monde</v>
      </c>
      <c r="B1609" t="str">
        <f>T("   ZZZ_Monde")</f>
        <v xml:space="preserve">   ZZZ_Monde</v>
      </c>
      <c r="C1609">
        <v>3977741</v>
      </c>
      <c r="D1609">
        <v>303</v>
      </c>
    </row>
    <row r="1610" spans="1:4" x14ac:dyDescent="0.25">
      <c r="A1610" t="str">
        <f>T("   FR")</f>
        <v xml:space="preserve">   FR</v>
      </c>
      <c r="B1610" t="str">
        <f>T("   France")</f>
        <v xml:space="preserve">   France</v>
      </c>
      <c r="C1610">
        <v>3977741</v>
      </c>
      <c r="D1610">
        <v>303</v>
      </c>
    </row>
    <row r="1611" spans="1:4" x14ac:dyDescent="0.25">
      <c r="A1611" t="str">
        <f>T("902300")</f>
        <v>902300</v>
      </c>
      <c r="B1611" t="str">
        <f>T("Instruments, appareils et modèles conçus pour la démonstration, p.ex. dans l'enseignement ou les expositions, non susceptibles d'autres emplois (à l'excl. des appareils au sol d'entraînement au vol du n° 8805, des spécimens pour collections du n° 9705 et")</f>
        <v>Instruments, appareils et modèles conçus pour la démonstration, p.ex. dans l'enseignement ou les expositions, non susceptibles d'autres emplois (à l'excl. des appareils au sol d'entraînement au vol du n° 8805, des spécimens pour collections du n° 9705 et</v>
      </c>
    </row>
    <row r="1612" spans="1:4" x14ac:dyDescent="0.25">
      <c r="A1612" t="str">
        <f>T("   ZZZ_Monde")</f>
        <v xml:space="preserve">   ZZZ_Monde</v>
      </c>
      <c r="B1612" t="str">
        <f>T("   ZZZ_Monde")</f>
        <v xml:space="preserve">   ZZZ_Monde</v>
      </c>
      <c r="C1612">
        <v>2590000</v>
      </c>
      <c r="D1612">
        <v>5000</v>
      </c>
    </row>
    <row r="1613" spans="1:4" x14ac:dyDescent="0.25">
      <c r="A1613" t="str">
        <f>T("   US")</f>
        <v xml:space="preserve">   US</v>
      </c>
      <c r="B1613" t="str">
        <f>T("   Etats-Unis")</f>
        <v xml:space="preserve">   Etats-Unis</v>
      </c>
      <c r="C1613">
        <v>2590000</v>
      </c>
      <c r="D1613">
        <v>5000</v>
      </c>
    </row>
    <row r="1614" spans="1:4" x14ac:dyDescent="0.25">
      <c r="A1614" t="str">
        <f>T("902580")</f>
        <v>902580</v>
      </c>
      <c r="B1614" t="str">
        <f>T("DENSIMÈTRES, ARÉOMÈTRES, PÈSE-LIQUIDES ET INSTRUMENTS FLOTTANTS SIMIL., BAROMÈTRES, HYGROMÈTRES ET PSYCHROMÈTRES, MÊME COMBINÉS ENTRE EUX OU COMBINÉS À DES THERMOMÈTRES [01/01/1988-31/12/1991: DENSIMÈTRES, ARÉOMÈTRES, PESE-LIQUIDES ET SIMILAIRES, PYROMETR")</f>
        <v>DENSIMÈTRES, ARÉOMÈTRES, PÈSE-LIQUIDES ET INSTRUMENTS FLOTTANTS SIMIL., BAROMÈTRES, HYGROMÈTRES ET PSYCHROMÈTRES, MÊME COMBINÉS ENTRE EUX OU COMBINÉS À DES THERMOMÈTRES [01/01/1988-31/12/1991: DENSIMÈTRES, ARÉOMÈTRES, PESE-LIQUIDES ET SIMILAIRES, PYROMETR</v>
      </c>
    </row>
    <row r="1615" spans="1:4" x14ac:dyDescent="0.25">
      <c r="A1615" t="str">
        <f>T("   ZZZ_Monde")</f>
        <v xml:space="preserve">   ZZZ_Monde</v>
      </c>
      <c r="B1615" t="str">
        <f>T("   ZZZ_Monde")</f>
        <v xml:space="preserve">   ZZZ_Monde</v>
      </c>
      <c r="C1615">
        <v>18399594</v>
      </c>
      <c r="D1615">
        <v>439</v>
      </c>
    </row>
    <row r="1616" spans="1:4" x14ac:dyDescent="0.25">
      <c r="A1616" t="str">
        <f>T("   FR")</f>
        <v xml:space="preserve">   FR</v>
      </c>
      <c r="B1616" t="str">
        <f>T("   France")</f>
        <v xml:space="preserve">   France</v>
      </c>
      <c r="C1616">
        <v>18399594</v>
      </c>
      <c r="D1616">
        <v>439</v>
      </c>
    </row>
    <row r="1617" spans="1:4" x14ac:dyDescent="0.25">
      <c r="A1617" t="str">
        <f>T("902610")</f>
        <v>902610</v>
      </c>
      <c r="B1617" t="str">
        <f>T("Instruments et appareils pour la mesure ou le contrôle du débit ou du niveau des liquides (à l'excl. des compteurs et des instruments et appareils pour la régulation ou le contrôle automatiques)")</f>
        <v>Instruments et appareils pour la mesure ou le contrôle du débit ou du niveau des liquides (à l'excl. des compteurs et des instruments et appareils pour la régulation ou le contrôle automatiques)</v>
      </c>
    </row>
    <row r="1618" spans="1:4" x14ac:dyDescent="0.25">
      <c r="A1618" t="str">
        <f>T("   ZZZ_Monde")</f>
        <v xml:space="preserve">   ZZZ_Monde</v>
      </c>
      <c r="B1618" t="str">
        <f>T("   ZZZ_Monde")</f>
        <v xml:space="preserve">   ZZZ_Monde</v>
      </c>
      <c r="C1618">
        <v>3935760</v>
      </c>
      <c r="D1618">
        <v>70</v>
      </c>
    </row>
    <row r="1619" spans="1:4" x14ac:dyDescent="0.25">
      <c r="A1619" t="str">
        <f>T("   FR")</f>
        <v xml:space="preserve">   FR</v>
      </c>
      <c r="B1619" t="str">
        <f>T("   France")</f>
        <v xml:space="preserve">   France</v>
      </c>
      <c r="C1619">
        <v>3935760</v>
      </c>
      <c r="D1619">
        <v>70</v>
      </c>
    </row>
    <row r="1620" spans="1:4" x14ac:dyDescent="0.25">
      <c r="A1620" t="str">
        <f>T("902790")</f>
        <v>902790</v>
      </c>
      <c r="B1620" t="str">
        <f>T("Microtomes; parties et accessoires des instruments et appareils pour analyses physiques ou chimiques, p.ex. polarimètres, réfractomètres, spectromètres, des instruments et appareils pour essais de viscosité, de porosité, de dilatation, de tension superfic")</f>
        <v>Microtomes; parties et accessoires des instruments et appareils pour analyses physiques ou chimiques, p.ex. polarimètres, réfractomètres, spectromètres, des instruments et appareils pour essais de viscosité, de porosité, de dilatation, de tension superfic</v>
      </c>
    </row>
    <row r="1621" spans="1:4" x14ac:dyDescent="0.25">
      <c r="A1621" t="str">
        <f>T("   ZZZ_Monde")</f>
        <v xml:space="preserve">   ZZZ_Monde</v>
      </c>
      <c r="B1621" t="str">
        <f>T("   ZZZ_Monde")</f>
        <v xml:space="preserve">   ZZZ_Monde</v>
      </c>
      <c r="C1621">
        <v>19174000</v>
      </c>
      <c r="D1621">
        <v>1216</v>
      </c>
    </row>
    <row r="1622" spans="1:4" x14ac:dyDescent="0.25">
      <c r="A1622" t="str">
        <f>T("   FR")</f>
        <v xml:space="preserve">   FR</v>
      </c>
      <c r="B1622" t="str">
        <f>T("   France")</f>
        <v xml:space="preserve">   France</v>
      </c>
      <c r="C1622">
        <v>19174000</v>
      </c>
      <c r="D1622">
        <v>1216</v>
      </c>
    </row>
    <row r="1623" spans="1:4" x14ac:dyDescent="0.25">
      <c r="A1623" t="str">
        <f>T("940161")</f>
        <v>940161</v>
      </c>
      <c r="B1623" t="str">
        <f>T("Sièges, avec bâti en bois, rembourrés (non transformables en lits)")</f>
        <v>Sièges, avec bâti en bois, rembourrés (non transformables en lits)</v>
      </c>
    </row>
    <row r="1624" spans="1:4" x14ac:dyDescent="0.25">
      <c r="A1624" t="str">
        <f>T("   ZZZ_Monde")</f>
        <v xml:space="preserve">   ZZZ_Monde</v>
      </c>
      <c r="B1624" t="str">
        <f>T("   ZZZ_Monde")</f>
        <v xml:space="preserve">   ZZZ_Monde</v>
      </c>
      <c r="C1624">
        <v>810000</v>
      </c>
      <c r="D1624">
        <v>15</v>
      </c>
    </row>
    <row r="1625" spans="1:4" x14ac:dyDescent="0.25">
      <c r="A1625" t="str">
        <f>T("   GQ")</f>
        <v xml:space="preserve">   GQ</v>
      </c>
      <c r="B1625" t="str">
        <f>T("   Guinée Equatoriale")</f>
        <v xml:space="preserve">   Guinée Equatoriale</v>
      </c>
      <c r="C1625">
        <v>810000</v>
      </c>
      <c r="D1625">
        <v>15</v>
      </c>
    </row>
    <row r="1626" spans="1:4" x14ac:dyDescent="0.25">
      <c r="A1626" t="str">
        <f>T("940180")</f>
        <v>940180</v>
      </c>
      <c r="B1626" t="str">
        <f>T("Sièges, n.d.a.")</f>
        <v>Sièges, n.d.a.</v>
      </c>
    </row>
    <row r="1627" spans="1:4" x14ac:dyDescent="0.25">
      <c r="A1627" t="str">
        <f>T("   ZZZ_Monde")</f>
        <v xml:space="preserve">   ZZZ_Monde</v>
      </c>
      <c r="B1627" t="str">
        <f>T("   ZZZ_Monde")</f>
        <v xml:space="preserve">   ZZZ_Monde</v>
      </c>
      <c r="C1627">
        <v>3238300</v>
      </c>
      <c r="D1627">
        <v>4200</v>
      </c>
    </row>
    <row r="1628" spans="1:4" x14ac:dyDescent="0.25">
      <c r="A1628" t="str">
        <f>T("   TG")</f>
        <v xml:space="preserve">   TG</v>
      </c>
      <c r="B1628" t="str">
        <f>T("   Togo")</f>
        <v xml:space="preserve">   Togo</v>
      </c>
      <c r="C1628">
        <v>3238300</v>
      </c>
      <c r="D1628">
        <v>4200</v>
      </c>
    </row>
    <row r="1629" spans="1:4" x14ac:dyDescent="0.25">
      <c r="A1629" t="str">
        <f>T("940210")</f>
        <v>940210</v>
      </c>
      <c r="B1629" t="str">
        <f>T("Fauteuils de dentistes, fauteuils pour salons de coiffure et fauteuils simil., avec dispositif à la fois d'orientation et d'élévation, et leurs parties, n.d.a.")</f>
        <v>Fauteuils de dentistes, fauteuils pour salons de coiffure et fauteuils simil., avec dispositif à la fois d'orientation et d'élévation, et leurs parties, n.d.a.</v>
      </c>
    </row>
    <row r="1630" spans="1:4" x14ac:dyDescent="0.25">
      <c r="A1630" t="str">
        <f>T("   ZZZ_Monde")</f>
        <v xml:space="preserve">   ZZZ_Monde</v>
      </c>
      <c r="B1630" t="str">
        <f>T("   ZZZ_Monde")</f>
        <v xml:space="preserve">   ZZZ_Monde</v>
      </c>
      <c r="C1630">
        <v>4422788</v>
      </c>
      <c r="D1630">
        <v>6150</v>
      </c>
    </row>
    <row r="1631" spans="1:4" x14ac:dyDescent="0.25">
      <c r="A1631" t="str">
        <f>T("   CD")</f>
        <v xml:space="preserve">   CD</v>
      </c>
      <c r="B1631" t="str">
        <f>T("   Congo, République Démocratique")</f>
        <v xml:space="preserve">   Congo, République Démocratique</v>
      </c>
      <c r="C1631">
        <v>550000</v>
      </c>
      <c r="D1631">
        <v>150</v>
      </c>
    </row>
    <row r="1632" spans="1:4" x14ac:dyDescent="0.25">
      <c r="A1632" t="str">
        <f>T("   FR")</f>
        <v xml:space="preserve">   FR</v>
      </c>
      <c r="B1632" t="str">
        <f>T("   France")</f>
        <v xml:space="preserve">   France</v>
      </c>
      <c r="C1632">
        <v>3872788</v>
      </c>
      <c r="D1632">
        <v>6000</v>
      </c>
    </row>
    <row r="1633" spans="1:4" x14ac:dyDescent="0.25">
      <c r="A1633" t="str">
        <f>T("940330")</f>
        <v>940330</v>
      </c>
      <c r="B1633" t="str">
        <f>T("Meubles de bureau en bois (sauf sièges)")</f>
        <v>Meubles de bureau en bois (sauf sièges)</v>
      </c>
    </row>
    <row r="1634" spans="1:4" x14ac:dyDescent="0.25">
      <c r="A1634" t="str">
        <f>T("   ZZZ_Monde")</f>
        <v xml:space="preserve">   ZZZ_Monde</v>
      </c>
      <c r="B1634" t="str">
        <f>T("   ZZZ_Monde")</f>
        <v xml:space="preserve">   ZZZ_Monde</v>
      </c>
      <c r="C1634">
        <v>1519384</v>
      </c>
      <c r="D1634">
        <v>2173</v>
      </c>
    </row>
    <row r="1635" spans="1:4" x14ac:dyDescent="0.25">
      <c r="A1635" t="str">
        <f>T("   GA")</f>
        <v xml:space="preserve">   GA</v>
      </c>
      <c r="B1635" t="str">
        <f>T("   Gabon")</f>
        <v xml:space="preserve">   Gabon</v>
      </c>
      <c r="C1635">
        <v>310000</v>
      </c>
      <c r="D1635">
        <v>1000</v>
      </c>
    </row>
    <row r="1636" spans="1:4" x14ac:dyDescent="0.25">
      <c r="A1636" t="str">
        <f>T("   US")</f>
        <v xml:space="preserve">   US</v>
      </c>
      <c r="B1636" t="str">
        <f>T("   Etats-Unis")</f>
        <v xml:space="preserve">   Etats-Unis</v>
      </c>
      <c r="C1636">
        <v>1209384</v>
      </c>
      <c r="D1636">
        <v>1173</v>
      </c>
    </row>
    <row r="1637" spans="1:4" x14ac:dyDescent="0.25">
      <c r="A1637" t="str">
        <f>T("940350")</f>
        <v>940350</v>
      </c>
      <c r="B1637" t="str">
        <f>T("Meubles pour chambres à coucher, en bois (sauf sièges)")</f>
        <v>Meubles pour chambres à coucher, en bois (sauf sièges)</v>
      </c>
    </row>
    <row r="1638" spans="1:4" x14ac:dyDescent="0.25">
      <c r="A1638" t="str">
        <f>T("   ZZZ_Monde")</f>
        <v xml:space="preserve">   ZZZ_Monde</v>
      </c>
      <c r="B1638" t="str">
        <f>T("   ZZZ_Monde")</f>
        <v xml:space="preserve">   ZZZ_Monde</v>
      </c>
      <c r="C1638">
        <v>57129256</v>
      </c>
      <c r="D1638">
        <v>87417</v>
      </c>
    </row>
    <row r="1639" spans="1:4" x14ac:dyDescent="0.25">
      <c r="A1639" t="str">
        <f>T("   BE")</f>
        <v xml:space="preserve">   BE</v>
      </c>
      <c r="B1639" t="str">
        <f>T("   Belgique")</f>
        <v xml:space="preserve">   Belgique</v>
      </c>
      <c r="C1639">
        <v>11329256</v>
      </c>
      <c r="D1639">
        <v>11757</v>
      </c>
    </row>
    <row r="1640" spans="1:4" x14ac:dyDescent="0.25">
      <c r="A1640" t="str">
        <f>T("   BF")</f>
        <v xml:space="preserve">   BF</v>
      </c>
      <c r="B1640" t="str">
        <f>T("   Burkina Faso")</f>
        <v xml:space="preserve">   Burkina Faso</v>
      </c>
      <c r="C1640">
        <v>3900000</v>
      </c>
      <c r="D1640">
        <v>4750</v>
      </c>
    </row>
    <row r="1641" spans="1:4" x14ac:dyDescent="0.25">
      <c r="A1641" t="str">
        <f>T("   BR")</f>
        <v xml:space="preserve">   BR</v>
      </c>
      <c r="B1641" t="str">
        <f>T("   Brésil")</f>
        <v xml:space="preserve">   Brésil</v>
      </c>
      <c r="C1641">
        <v>2300000</v>
      </c>
      <c r="D1641">
        <v>3000</v>
      </c>
    </row>
    <row r="1642" spans="1:4" x14ac:dyDescent="0.25">
      <c r="A1642" t="str">
        <f>T("   CD")</f>
        <v xml:space="preserve">   CD</v>
      </c>
      <c r="B1642" t="str">
        <f>T("   Congo, République Démocratique")</f>
        <v xml:space="preserve">   Congo, République Démocratique</v>
      </c>
      <c r="C1642">
        <v>1750000</v>
      </c>
      <c r="D1642">
        <v>2200</v>
      </c>
    </row>
    <row r="1643" spans="1:4" x14ac:dyDescent="0.25">
      <c r="A1643" t="str">
        <f>T("   CG")</f>
        <v xml:space="preserve">   CG</v>
      </c>
      <c r="B1643" t="str">
        <f>T("   Congo (Brazzaville)")</f>
        <v xml:space="preserve">   Congo (Brazzaville)</v>
      </c>
      <c r="C1643">
        <v>500000</v>
      </c>
      <c r="D1643">
        <v>200</v>
      </c>
    </row>
    <row r="1644" spans="1:4" x14ac:dyDescent="0.25">
      <c r="A1644" t="str">
        <f>T("   CH")</f>
        <v xml:space="preserve">   CH</v>
      </c>
      <c r="B1644" t="str">
        <f>T("   Suisse")</f>
        <v xml:space="preserve">   Suisse</v>
      </c>
      <c r="C1644">
        <v>1050000</v>
      </c>
      <c r="D1644">
        <v>2500</v>
      </c>
    </row>
    <row r="1645" spans="1:4" x14ac:dyDescent="0.25">
      <c r="A1645" t="str">
        <f>T("   CI")</f>
        <v xml:space="preserve">   CI</v>
      </c>
      <c r="B1645" t="str">
        <f>T("   Côte d'Ivoire")</f>
        <v xml:space="preserve">   Côte d'Ivoire</v>
      </c>
      <c r="C1645">
        <v>3000000</v>
      </c>
      <c r="D1645">
        <v>3650</v>
      </c>
    </row>
    <row r="1646" spans="1:4" x14ac:dyDescent="0.25">
      <c r="A1646" t="str">
        <f>T("   CM")</f>
        <v xml:space="preserve">   CM</v>
      </c>
      <c r="B1646" t="str">
        <f>T("   Cameroun")</f>
        <v xml:space="preserve">   Cameroun</v>
      </c>
      <c r="C1646">
        <v>2100000</v>
      </c>
      <c r="D1646">
        <v>3900</v>
      </c>
    </row>
    <row r="1647" spans="1:4" x14ac:dyDescent="0.25">
      <c r="A1647" t="str">
        <f>T("   DE")</f>
        <v xml:space="preserve">   DE</v>
      </c>
      <c r="B1647" t="str">
        <f>T("   Allemagne")</f>
        <v xml:space="preserve">   Allemagne</v>
      </c>
      <c r="C1647">
        <v>5600000</v>
      </c>
      <c r="D1647">
        <v>10000</v>
      </c>
    </row>
    <row r="1648" spans="1:4" x14ac:dyDescent="0.25">
      <c r="A1648" t="str">
        <f>T("   DK")</f>
        <v xml:space="preserve">   DK</v>
      </c>
      <c r="B1648" t="str">
        <f>T("   Danemark")</f>
        <v xml:space="preserve">   Danemark</v>
      </c>
      <c r="C1648">
        <v>800000</v>
      </c>
      <c r="D1648">
        <v>900</v>
      </c>
    </row>
    <row r="1649" spans="1:4" x14ac:dyDescent="0.25">
      <c r="A1649" t="str">
        <f>T("   ET")</f>
        <v xml:space="preserve">   ET</v>
      </c>
      <c r="B1649" t="str">
        <f>T("   Ethiopie")</f>
        <v xml:space="preserve">   Ethiopie</v>
      </c>
      <c r="C1649">
        <v>800000</v>
      </c>
      <c r="D1649">
        <v>1200</v>
      </c>
    </row>
    <row r="1650" spans="1:4" x14ac:dyDescent="0.25">
      <c r="A1650" t="str">
        <f>T("   FR")</f>
        <v xml:space="preserve">   FR</v>
      </c>
      <c r="B1650" t="str">
        <f>T("   France")</f>
        <v xml:space="preserve">   France</v>
      </c>
      <c r="C1650">
        <v>5900000</v>
      </c>
      <c r="D1650">
        <v>7200</v>
      </c>
    </row>
    <row r="1651" spans="1:4" x14ac:dyDescent="0.25">
      <c r="A1651" t="str">
        <f>T("   GA")</f>
        <v xml:space="preserve">   GA</v>
      </c>
      <c r="B1651" t="str">
        <f>T("   Gabon")</f>
        <v xml:space="preserve">   Gabon</v>
      </c>
      <c r="C1651">
        <v>2750000</v>
      </c>
      <c r="D1651">
        <v>3500</v>
      </c>
    </row>
    <row r="1652" spans="1:4" x14ac:dyDescent="0.25">
      <c r="A1652" t="str">
        <f>T("   GN")</f>
        <v xml:space="preserve">   GN</v>
      </c>
      <c r="B1652" t="str">
        <f>T("   Guinée")</f>
        <v xml:space="preserve">   Guinée</v>
      </c>
      <c r="C1652">
        <v>2400000</v>
      </c>
      <c r="D1652">
        <v>15400</v>
      </c>
    </row>
    <row r="1653" spans="1:4" x14ac:dyDescent="0.25">
      <c r="A1653" t="str">
        <f>T("   GP")</f>
        <v xml:space="preserve">   GP</v>
      </c>
      <c r="B1653" t="str">
        <f>T("   Guadeloupe")</f>
        <v xml:space="preserve">   Guadeloupe</v>
      </c>
      <c r="C1653">
        <v>800000</v>
      </c>
      <c r="D1653">
        <v>1200</v>
      </c>
    </row>
    <row r="1654" spans="1:4" x14ac:dyDescent="0.25">
      <c r="A1654" t="str">
        <f>T("   GQ")</f>
        <v xml:space="preserve">   GQ</v>
      </c>
      <c r="B1654" t="str">
        <f>T("   Guinée Equatoriale")</f>
        <v xml:space="preserve">   Guinée Equatoriale</v>
      </c>
      <c r="C1654">
        <v>200000</v>
      </c>
      <c r="D1654">
        <v>10</v>
      </c>
    </row>
    <row r="1655" spans="1:4" x14ac:dyDescent="0.25">
      <c r="A1655" t="str">
        <f>T("   GY")</f>
        <v xml:space="preserve">   GY</v>
      </c>
      <c r="B1655" t="str">
        <f>T("   Guyane")</f>
        <v xml:space="preserve">   Guyane</v>
      </c>
      <c r="C1655">
        <v>400000</v>
      </c>
      <c r="D1655">
        <v>300</v>
      </c>
    </row>
    <row r="1656" spans="1:4" x14ac:dyDescent="0.25">
      <c r="A1656" t="str">
        <f>T("   ID")</f>
        <v xml:space="preserve">   ID</v>
      </c>
      <c r="B1656" t="str">
        <f>T("   Indonésie")</f>
        <v xml:space="preserve">   Indonésie</v>
      </c>
      <c r="C1656">
        <v>1200000</v>
      </c>
      <c r="D1656">
        <v>1200</v>
      </c>
    </row>
    <row r="1657" spans="1:4" x14ac:dyDescent="0.25">
      <c r="A1657" t="str">
        <f>T("   KE")</f>
        <v xml:space="preserve">   KE</v>
      </c>
      <c r="B1657" t="str">
        <f>T("   Kenya")</f>
        <v xml:space="preserve">   Kenya</v>
      </c>
      <c r="C1657">
        <v>1000000</v>
      </c>
      <c r="D1657">
        <v>1300</v>
      </c>
    </row>
    <row r="1658" spans="1:4" x14ac:dyDescent="0.25">
      <c r="A1658" t="str">
        <f>T("   MG")</f>
        <v xml:space="preserve">   MG</v>
      </c>
      <c r="B1658" t="str">
        <f>T("   Madagascar")</f>
        <v xml:space="preserve">   Madagascar</v>
      </c>
      <c r="C1658">
        <v>1000000</v>
      </c>
      <c r="D1658">
        <v>1500</v>
      </c>
    </row>
    <row r="1659" spans="1:4" x14ac:dyDescent="0.25">
      <c r="A1659" t="str">
        <f>T("   MZ")</f>
        <v xml:space="preserve">   MZ</v>
      </c>
      <c r="B1659" t="str">
        <f>T("   Mozambique")</f>
        <v xml:space="preserve">   Mozambique</v>
      </c>
      <c r="C1659">
        <v>850000</v>
      </c>
      <c r="D1659">
        <v>1800</v>
      </c>
    </row>
    <row r="1660" spans="1:4" x14ac:dyDescent="0.25">
      <c r="A1660" t="str">
        <f>T("   NE")</f>
        <v xml:space="preserve">   NE</v>
      </c>
      <c r="B1660" t="str">
        <f>T("   Niger")</f>
        <v xml:space="preserve">   Niger</v>
      </c>
      <c r="C1660">
        <v>700000</v>
      </c>
      <c r="D1660">
        <v>400</v>
      </c>
    </row>
    <row r="1661" spans="1:4" x14ac:dyDescent="0.25">
      <c r="A1661" t="str">
        <f>T("   NL")</f>
        <v xml:space="preserve">   NL</v>
      </c>
      <c r="B1661" t="str">
        <f>T("   Pays-bas")</f>
        <v xml:space="preserve">   Pays-bas</v>
      </c>
      <c r="C1661">
        <v>950000</v>
      </c>
      <c r="D1661">
        <v>2200</v>
      </c>
    </row>
    <row r="1662" spans="1:4" x14ac:dyDescent="0.25">
      <c r="A1662" t="str">
        <f>T("   SN")</f>
        <v xml:space="preserve">   SN</v>
      </c>
      <c r="B1662" t="str">
        <f>T("   Sénégal")</f>
        <v xml:space="preserve">   Sénégal</v>
      </c>
      <c r="C1662">
        <v>5150000</v>
      </c>
      <c r="D1662">
        <v>6800</v>
      </c>
    </row>
    <row r="1663" spans="1:4" x14ac:dyDescent="0.25">
      <c r="A1663" t="str">
        <f>T("   US")</f>
        <v xml:space="preserve">   US</v>
      </c>
      <c r="B1663" t="str">
        <f>T("   Etats-Unis")</f>
        <v xml:space="preserve">   Etats-Unis</v>
      </c>
      <c r="C1663">
        <v>700000</v>
      </c>
      <c r="D1663">
        <v>550</v>
      </c>
    </row>
    <row r="1664" spans="1:4" x14ac:dyDescent="0.25">
      <c r="A1664" t="str">
        <f>T("940360")</f>
        <v>940360</v>
      </c>
      <c r="B1664" t="str">
        <f>T("Meubles en bois (autres que pour bureaux, cuisines ou chambres à coucher et autres que sièges)")</f>
        <v>Meubles en bois (autres que pour bureaux, cuisines ou chambres à coucher et autres que sièges)</v>
      </c>
    </row>
    <row r="1665" spans="1:4" x14ac:dyDescent="0.25">
      <c r="A1665" t="str">
        <f>T("   ZZZ_Monde")</f>
        <v xml:space="preserve">   ZZZ_Monde</v>
      </c>
      <c r="B1665" t="str">
        <f>T("   ZZZ_Monde")</f>
        <v xml:space="preserve">   ZZZ_Monde</v>
      </c>
      <c r="C1665">
        <v>178555912</v>
      </c>
      <c r="D1665">
        <v>45680</v>
      </c>
    </row>
    <row r="1666" spans="1:4" x14ac:dyDescent="0.25">
      <c r="A1666" t="str">
        <f>T("   BF")</f>
        <v xml:space="preserve">   BF</v>
      </c>
      <c r="B1666" t="str">
        <f>T("   Burkina Faso")</f>
        <v xml:space="preserve">   Burkina Faso</v>
      </c>
      <c r="C1666">
        <v>6500000</v>
      </c>
      <c r="D1666">
        <v>2000</v>
      </c>
    </row>
    <row r="1667" spans="1:4" x14ac:dyDescent="0.25">
      <c r="A1667" t="str">
        <f>T("   DE")</f>
        <v xml:space="preserve">   DE</v>
      </c>
      <c r="B1667" t="str">
        <f>T("   Allemagne")</f>
        <v xml:space="preserve">   Allemagne</v>
      </c>
      <c r="C1667">
        <v>4750000</v>
      </c>
      <c r="D1667">
        <v>5500</v>
      </c>
    </row>
    <row r="1668" spans="1:4" x14ac:dyDescent="0.25">
      <c r="A1668" t="str">
        <f>T("   DK")</f>
        <v xml:space="preserve">   DK</v>
      </c>
      <c r="B1668" t="str">
        <f>T("   Danemark")</f>
        <v xml:space="preserve">   Danemark</v>
      </c>
      <c r="C1668">
        <v>1470000</v>
      </c>
      <c r="D1668">
        <v>3800</v>
      </c>
    </row>
    <row r="1669" spans="1:4" x14ac:dyDescent="0.25">
      <c r="A1669" t="str">
        <f>T("   SN")</f>
        <v xml:space="preserve">   SN</v>
      </c>
      <c r="B1669" t="str">
        <f>T("   Sénégal")</f>
        <v xml:space="preserve">   Sénégal</v>
      </c>
      <c r="C1669">
        <v>3387000</v>
      </c>
      <c r="D1669">
        <v>5230</v>
      </c>
    </row>
    <row r="1670" spans="1:4" x14ac:dyDescent="0.25">
      <c r="A1670" t="str">
        <f>T("   TG")</f>
        <v xml:space="preserve">   TG</v>
      </c>
      <c r="B1670" t="str">
        <f>T("   Togo")</f>
        <v xml:space="preserve">   Togo</v>
      </c>
      <c r="C1670">
        <v>1500000</v>
      </c>
      <c r="D1670">
        <v>1000</v>
      </c>
    </row>
    <row r="1671" spans="1:4" x14ac:dyDescent="0.25">
      <c r="A1671" t="str">
        <f>T("   US")</f>
        <v xml:space="preserve">   US</v>
      </c>
      <c r="B1671" t="str">
        <f>T("   Etats-Unis")</f>
        <v xml:space="preserve">   Etats-Unis</v>
      </c>
      <c r="C1671">
        <v>159473912</v>
      </c>
      <c r="D1671">
        <v>24500</v>
      </c>
    </row>
    <row r="1672" spans="1:4" x14ac:dyDescent="0.25">
      <c r="A1672" t="str">
        <f>T("   ZA")</f>
        <v xml:space="preserve">   ZA</v>
      </c>
      <c r="B1672" t="str">
        <f>T("   Afrique du Sud")</f>
        <v xml:space="preserve">   Afrique du Sud</v>
      </c>
      <c r="C1672">
        <v>1475000</v>
      </c>
      <c r="D1672">
        <v>3650</v>
      </c>
    </row>
    <row r="1673" spans="1:4" x14ac:dyDescent="0.25">
      <c r="A1673" t="str">
        <f>T("940370")</f>
        <v>940370</v>
      </c>
      <c r="B1673" t="str">
        <f>T("Meubles en matières plastiques (autres que pour la médecine, l'art dentaire et vétérinaire, la chirurgie et autres que sièges)")</f>
        <v>Meubles en matières plastiques (autres que pour la médecine, l'art dentaire et vétérinaire, la chirurgie et autres que sièges)</v>
      </c>
    </row>
    <row r="1674" spans="1:4" x14ac:dyDescent="0.25">
      <c r="A1674" t="str">
        <f>T("   ZZZ_Monde")</f>
        <v xml:space="preserve">   ZZZ_Monde</v>
      </c>
      <c r="B1674" t="str">
        <f>T("   ZZZ_Monde")</f>
        <v xml:space="preserve">   ZZZ_Monde</v>
      </c>
      <c r="C1674">
        <v>11862000</v>
      </c>
      <c r="D1674">
        <v>8750</v>
      </c>
    </row>
    <row r="1675" spans="1:4" x14ac:dyDescent="0.25">
      <c r="A1675" t="str">
        <f>T("   GH")</f>
        <v xml:space="preserve">   GH</v>
      </c>
      <c r="B1675" t="str">
        <f>T("   Ghana")</f>
        <v xml:space="preserve">   Ghana</v>
      </c>
      <c r="C1675">
        <v>11862000</v>
      </c>
      <c r="D1675">
        <v>8750</v>
      </c>
    </row>
    <row r="1676" spans="1:4" x14ac:dyDescent="0.25">
      <c r="A1676" t="str">
        <f>T("940380")</f>
        <v>940380</v>
      </c>
      <c r="B1676" t="str">
        <f>T("Meubles en rotin, osier, bambou ou autres matières (sauf métal, bois et matières plastiques)")</f>
        <v>Meubles en rotin, osier, bambou ou autres matières (sauf métal, bois et matières plastiques)</v>
      </c>
    </row>
    <row r="1677" spans="1:4" x14ac:dyDescent="0.25">
      <c r="A1677" t="str">
        <f>T("   ZZZ_Monde")</f>
        <v xml:space="preserve">   ZZZ_Monde</v>
      </c>
      <c r="B1677" t="str">
        <f>T("   ZZZ_Monde")</f>
        <v xml:space="preserve">   ZZZ_Monde</v>
      </c>
      <c r="C1677">
        <v>74415451</v>
      </c>
      <c r="D1677">
        <v>221140</v>
      </c>
    </row>
    <row r="1678" spans="1:4" x14ac:dyDescent="0.25">
      <c r="A1678" t="str">
        <f>T("   AO")</f>
        <v xml:space="preserve">   AO</v>
      </c>
      <c r="B1678" t="str">
        <f>T("   Angola")</f>
        <v xml:space="preserve">   Angola</v>
      </c>
      <c r="C1678">
        <v>13119200</v>
      </c>
      <c r="D1678">
        <v>15000</v>
      </c>
    </row>
    <row r="1679" spans="1:4" x14ac:dyDescent="0.25">
      <c r="A1679" t="str">
        <f>T("   BD")</f>
        <v xml:space="preserve">   BD</v>
      </c>
      <c r="B1679" t="str">
        <f>T("   Bangladesh")</f>
        <v xml:space="preserve">   Bangladesh</v>
      </c>
      <c r="C1679">
        <v>2500000</v>
      </c>
      <c r="D1679">
        <v>4000</v>
      </c>
    </row>
    <row r="1680" spans="1:4" x14ac:dyDescent="0.25">
      <c r="A1680" t="str">
        <f>T("   BE")</f>
        <v xml:space="preserve">   BE</v>
      </c>
      <c r="B1680" t="str">
        <f>T("   Belgique")</f>
        <v xml:space="preserve">   Belgique</v>
      </c>
      <c r="C1680">
        <v>5200000</v>
      </c>
      <c r="D1680">
        <v>14600</v>
      </c>
    </row>
    <row r="1681" spans="1:4" x14ac:dyDescent="0.25">
      <c r="A1681" t="str">
        <f>T("   BF")</f>
        <v xml:space="preserve">   BF</v>
      </c>
      <c r="B1681" t="str">
        <f>T("   Burkina Faso")</f>
        <v xml:space="preserve">   Burkina Faso</v>
      </c>
      <c r="C1681">
        <v>2000000</v>
      </c>
      <c r="D1681">
        <v>13700</v>
      </c>
    </row>
    <row r="1682" spans="1:4" x14ac:dyDescent="0.25">
      <c r="A1682" t="str">
        <f>T("   CD")</f>
        <v xml:space="preserve">   CD</v>
      </c>
      <c r="B1682" t="str">
        <f>T("   Congo, République Démocratique")</f>
        <v xml:space="preserve">   Congo, République Démocratique</v>
      </c>
      <c r="C1682">
        <v>5000000</v>
      </c>
      <c r="D1682">
        <v>12000</v>
      </c>
    </row>
    <row r="1683" spans="1:4" x14ac:dyDescent="0.25">
      <c r="A1683" t="str">
        <f>T("   CM")</f>
        <v xml:space="preserve">   CM</v>
      </c>
      <c r="B1683" t="str">
        <f>T("   Cameroun")</f>
        <v xml:space="preserve">   Cameroun</v>
      </c>
      <c r="C1683">
        <v>6000000</v>
      </c>
      <c r="D1683">
        <v>8000</v>
      </c>
    </row>
    <row r="1684" spans="1:4" x14ac:dyDescent="0.25">
      <c r="A1684" t="str">
        <f>T("   DK")</f>
        <v xml:space="preserve">   DK</v>
      </c>
      <c r="B1684" t="str">
        <f>T("   Danemark")</f>
        <v xml:space="preserve">   Danemark</v>
      </c>
      <c r="C1684">
        <v>3000000</v>
      </c>
      <c r="D1684">
        <v>3500</v>
      </c>
    </row>
    <row r="1685" spans="1:4" x14ac:dyDescent="0.25">
      <c r="A1685" t="str">
        <f>T("   ET")</f>
        <v xml:space="preserve">   ET</v>
      </c>
      <c r="B1685" t="str">
        <f>T("   Ethiopie")</f>
        <v xml:space="preserve">   Ethiopie</v>
      </c>
      <c r="C1685">
        <v>500000</v>
      </c>
      <c r="D1685">
        <v>5000</v>
      </c>
    </row>
    <row r="1686" spans="1:4" x14ac:dyDescent="0.25">
      <c r="A1686" t="str">
        <f>T("   FR")</f>
        <v xml:space="preserve">   FR</v>
      </c>
      <c r="B1686" t="str">
        <f>T("   France")</f>
        <v xml:space="preserve">   France</v>
      </c>
      <c r="C1686">
        <v>20940192</v>
      </c>
      <c r="D1686">
        <v>64560</v>
      </c>
    </row>
    <row r="1687" spans="1:4" x14ac:dyDescent="0.25">
      <c r="A1687" t="str">
        <f>T("   GA")</f>
        <v xml:space="preserve">   GA</v>
      </c>
      <c r="B1687" t="str">
        <f>T("   Gabon")</f>
        <v xml:space="preserve">   Gabon</v>
      </c>
      <c r="C1687">
        <v>500000</v>
      </c>
      <c r="D1687">
        <v>10000</v>
      </c>
    </row>
    <row r="1688" spans="1:4" x14ac:dyDescent="0.25">
      <c r="A1688" t="str">
        <f>T("   GH")</f>
        <v xml:space="preserve">   GH</v>
      </c>
      <c r="B1688" t="str">
        <f>T("   Ghana")</f>
        <v xml:space="preserve">   Ghana</v>
      </c>
      <c r="C1688">
        <v>1500000</v>
      </c>
      <c r="D1688">
        <v>1200</v>
      </c>
    </row>
    <row r="1689" spans="1:4" x14ac:dyDescent="0.25">
      <c r="A1689" t="str">
        <f>T("   GN")</f>
        <v xml:space="preserve">   GN</v>
      </c>
      <c r="B1689" t="str">
        <f>T("   Guinée")</f>
        <v xml:space="preserve">   Guinée</v>
      </c>
      <c r="C1689">
        <v>4420000</v>
      </c>
      <c r="D1689">
        <v>13780</v>
      </c>
    </row>
    <row r="1690" spans="1:4" x14ac:dyDescent="0.25">
      <c r="A1690" t="str">
        <f>T("   GQ")</f>
        <v xml:space="preserve">   GQ</v>
      </c>
      <c r="B1690" t="str">
        <f>T("   Guinée Equatoriale")</f>
        <v xml:space="preserve">   Guinée Equatoriale</v>
      </c>
      <c r="C1690">
        <v>3236059</v>
      </c>
      <c r="D1690">
        <v>10800</v>
      </c>
    </row>
    <row r="1691" spans="1:4" x14ac:dyDescent="0.25">
      <c r="A1691" t="str">
        <f>T("   ML")</f>
        <v xml:space="preserve">   ML</v>
      </c>
      <c r="B1691" t="str">
        <f>T("   Mali")</f>
        <v xml:space="preserve">   Mali</v>
      </c>
      <c r="C1691">
        <v>500000</v>
      </c>
      <c r="D1691">
        <v>10000</v>
      </c>
    </row>
    <row r="1692" spans="1:4" x14ac:dyDescent="0.25">
      <c r="A1692" t="str">
        <f>T("   MR")</f>
        <v xml:space="preserve">   MR</v>
      </c>
      <c r="B1692" t="str">
        <f>T("   Mauritanie")</f>
        <v xml:space="preserve">   Mauritanie</v>
      </c>
      <c r="C1692">
        <v>500000</v>
      </c>
      <c r="D1692">
        <v>10000</v>
      </c>
    </row>
    <row r="1693" spans="1:4" x14ac:dyDescent="0.25">
      <c r="A1693" t="str">
        <f>T("   NL")</f>
        <v xml:space="preserve">   NL</v>
      </c>
      <c r="B1693" t="str">
        <f>T("   Pays-bas")</f>
        <v xml:space="preserve">   Pays-bas</v>
      </c>
      <c r="C1693">
        <v>1500000</v>
      </c>
      <c r="D1693">
        <v>1500</v>
      </c>
    </row>
    <row r="1694" spans="1:4" x14ac:dyDescent="0.25">
      <c r="A1694" t="str">
        <f>T("   SN")</f>
        <v xml:space="preserve">   SN</v>
      </c>
      <c r="B1694" t="str">
        <f>T("   Sénégal")</f>
        <v xml:space="preserve">   Sénégal</v>
      </c>
      <c r="C1694">
        <v>1000000</v>
      </c>
      <c r="D1694">
        <v>20000</v>
      </c>
    </row>
    <row r="1695" spans="1:4" x14ac:dyDescent="0.25">
      <c r="A1695" t="str">
        <f>T("   TZ")</f>
        <v xml:space="preserve">   TZ</v>
      </c>
      <c r="B1695" t="str">
        <f>T("   Tanzanie")</f>
        <v xml:space="preserve">   Tanzanie</v>
      </c>
      <c r="C1695">
        <v>1500000</v>
      </c>
      <c r="D1695">
        <v>1500</v>
      </c>
    </row>
    <row r="1696" spans="1:4" x14ac:dyDescent="0.25">
      <c r="A1696" t="str">
        <f>T("   US")</f>
        <v xml:space="preserve">   US</v>
      </c>
      <c r="B1696" t="str">
        <f>T("   Etats-Unis")</f>
        <v xml:space="preserve">   Etats-Unis</v>
      </c>
      <c r="C1696">
        <v>1500000</v>
      </c>
      <c r="D1696">
        <v>2000</v>
      </c>
    </row>
    <row r="1697" spans="1:4" x14ac:dyDescent="0.25">
      <c r="A1697" t="str">
        <f>T("940390")</f>
        <v>940390</v>
      </c>
      <c r="B1697" t="str">
        <f>T("PARTIES DE MEUBLES, N.D.A. (AUTRES QUE DE SIÈGES ET MOBILIER POUR LA MÉDECINE, L'ART DENTAIRE ET VÉTÉRINAIRE OU LA CHIRURGIE)")</f>
        <v>PARTIES DE MEUBLES, N.D.A. (AUTRES QUE DE SIÈGES ET MOBILIER POUR LA MÉDECINE, L'ART DENTAIRE ET VÉTÉRINAIRE OU LA CHIRURGIE)</v>
      </c>
    </row>
    <row r="1698" spans="1:4" x14ac:dyDescent="0.25">
      <c r="A1698" t="str">
        <f>T("   ZZZ_Monde")</f>
        <v xml:space="preserve">   ZZZ_Monde</v>
      </c>
      <c r="B1698" t="str">
        <f>T("   ZZZ_Monde")</f>
        <v xml:space="preserve">   ZZZ_Monde</v>
      </c>
      <c r="C1698">
        <v>29610827</v>
      </c>
      <c r="D1698">
        <v>6070</v>
      </c>
    </row>
    <row r="1699" spans="1:4" x14ac:dyDescent="0.25">
      <c r="A1699" t="str">
        <f>T("   CM")</f>
        <v xml:space="preserve">   CM</v>
      </c>
      <c r="B1699" t="str">
        <f>T("   Cameroun")</f>
        <v xml:space="preserve">   Cameroun</v>
      </c>
      <c r="C1699">
        <v>27045231</v>
      </c>
      <c r="D1699">
        <v>4500</v>
      </c>
    </row>
    <row r="1700" spans="1:4" x14ac:dyDescent="0.25">
      <c r="A1700" t="str">
        <f>T("   FR")</f>
        <v xml:space="preserve">   FR</v>
      </c>
      <c r="B1700" t="str">
        <f>T("   France")</f>
        <v xml:space="preserve">   France</v>
      </c>
      <c r="C1700">
        <v>2500000</v>
      </c>
      <c r="D1700">
        <v>1270</v>
      </c>
    </row>
    <row r="1701" spans="1:4" x14ac:dyDescent="0.25">
      <c r="A1701" t="str">
        <f>T("   LB")</f>
        <v xml:space="preserve">   LB</v>
      </c>
      <c r="B1701" t="str">
        <f>T("   Liban")</f>
        <v xml:space="preserve">   Liban</v>
      </c>
      <c r="C1701">
        <v>65596</v>
      </c>
      <c r="D1701">
        <v>300</v>
      </c>
    </row>
    <row r="1702" spans="1:4" x14ac:dyDescent="0.25">
      <c r="A1702" t="str">
        <f>T("940421")</f>
        <v>940421</v>
      </c>
      <c r="B1702" t="str">
        <f>T("Matelas en caoutchouc alvéolaire ou en matières plastiques alvéolaires")</f>
        <v>Matelas en caoutchouc alvéolaire ou en matières plastiques alvéolaires</v>
      </c>
    </row>
    <row r="1703" spans="1:4" x14ac:dyDescent="0.25">
      <c r="A1703" t="str">
        <f>T("   ZZZ_Monde")</f>
        <v xml:space="preserve">   ZZZ_Monde</v>
      </c>
      <c r="B1703" t="str">
        <f>T("   ZZZ_Monde")</f>
        <v xml:space="preserve">   ZZZ_Monde</v>
      </c>
      <c r="C1703">
        <v>4267650</v>
      </c>
      <c r="D1703">
        <v>1400</v>
      </c>
    </row>
    <row r="1704" spans="1:4" x14ac:dyDescent="0.25">
      <c r="A1704" t="str">
        <f>T("   TG")</f>
        <v xml:space="preserve">   TG</v>
      </c>
      <c r="B1704" t="str">
        <f>T("   Togo")</f>
        <v xml:space="preserve">   Togo</v>
      </c>
      <c r="C1704">
        <v>4267650</v>
      </c>
      <c r="D1704">
        <v>1400</v>
      </c>
    </row>
    <row r="1705" spans="1:4" x14ac:dyDescent="0.25">
      <c r="A1705" t="str">
        <f>T("940429")</f>
        <v>940429</v>
      </c>
      <c r="B1705" t="str">
        <f>T("Matelas à ressorts ou rembourrés, ou garnis intérieurement de matières autres que le caoutchouc alvéolaire ou les matières plastiques alvéolaires (sauf matelas à eau, matelas pneumatiques et oreillers)")</f>
        <v>Matelas à ressorts ou rembourrés, ou garnis intérieurement de matières autres que le caoutchouc alvéolaire ou les matières plastiques alvéolaires (sauf matelas à eau, matelas pneumatiques et oreillers)</v>
      </c>
    </row>
    <row r="1706" spans="1:4" x14ac:dyDescent="0.25">
      <c r="A1706" t="str">
        <f>T("   ZZZ_Monde")</f>
        <v xml:space="preserve">   ZZZ_Monde</v>
      </c>
      <c r="B1706" t="str">
        <f>T("   ZZZ_Monde")</f>
        <v xml:space="preserve">   ZZZ_Monde</v>
      </c>
      <c r="C1706">
        <v>2500000</v>
      </c>
      <c r="D1706">
        <v>2905</v>
      </c>
    </row>
    <row r="1707" spans="1:4" x14ac:dyDescent="0.25">
      <c r="A1707" t="str">
        <f>T("   CA")</f>
        <v xml:space="preserve">   CA</v>
      </c>
      <c r="B1707" t="str">
        <f>T("   Canada")</f>
        <v xml:space="preserve">   Canada</v>
      </c>
      <c r="C1707">
        <v>2000000</v>
      </c>
      <c r="D1707">
        <v>1800</v>
      </c>
    </row>
    <row r="1708" spans="1:4" x14ac:dyDescent="0.25">
      <c r="A1708" t="str">
        <f>T("   GA")</f>
        <v xml:space="preserve">   GA</v>
      </c>
      <c r="B1708" t="str">
        <f>T("   Gabon")</f>
        <v xml:space="preserve">   Gabon</v>
      </c>
      <c r="C1708">
        <v>90000</v>
      </c>
      <c r="D1708">
        <v>1100</v>
      </c>
    </row>
    <row r="1709" spans="1:4" x14ac:dyDescent="0.25">
      <c r="A1709" t="str">
        <f>T("   GQ")</f>
        <v xml:space="preserve">   GQ</v>
      </c>
      <c r="B1709" t="str">
        <f>T("   Guinée Equatoriale")</f>
        <v xml:space="preserve">   Guinée Equatoriale</v>
      </c>
      <c r="C1709">
        <v>410000</v>
      </c>
      <c r="D1709">
        <v>5</v>
      </c>
    </row>
    <row r="1710" spans="1:4" x14ac:dyDescent="0.25">
      <c r="A1710" t="str">
        <f>T("940490")</f>
        <v>940490</v>
      </c>
      <c r="B1710" t="str">
        <f>T("Articles de literie et simil., garnis de plumes, rembourrés, garnis de matières de toutes sortes, y.c. caoutchouc alvéolaire ou matières plastiques alvéolaires (sauf sommiers, matelas, sacs de couchage, matelas à eau, matelas pneumatiques et oreillers, ai")</f>
        <v>Articles de literie et simil., garnis de plumes, rembourrés, garnis de matières de toutes sortes, y.c. caoutchouc alvéolaire ou matières plastiques alvéolaires (sauf sommiers, matelas, sacs de couchage, matelas à eau, matelas pneumatiques et oreillers, ai</v>
      </c>
    </row>
    <row r="1711" spans="1:4" x14ac:dyDescent="0.25">
      <c r="A1711" t="str">
        <f>T("   ZZZ_Monde")</f>
        <v xml:space="preserve">   ZZZ_Monde</v>
      </c>
      <c r="B1711" t="str">
        <f>T("   ZZZ_Monde")</f>
        <v xml:space="preserve">   ZZZ_Monde</v>
      </c>
      <c r="C1711">
        <v>8760433</v>
      </c>
      <c r="D1711">
        <v>3275</v>
      </c>
    </row>
    <row r="1712" spans="1:4" x14ac:dyDescent="0.25">
      <c r="A1712" t="str">
        <f>T("   BF")</f>
        <v xml:space="preserve">   BF</v>
      </c>
      <c r="B1712" t="str">
        <f>T("   Burkina Faso")</f>
        <v xml:space="preserve">   Burkina Faso</v>
      </c>
      <c r="C1712">
        <v>8760433</v>
      </c>
      <c r="D1712">
        <v>3275</v>
      </c>
    </row>
    <row r="1713" spans="1:4" x14ac:dyDescent="0.25">
      <c r="A1713" t="str">
        <f>T("940540")</f>
        <v>940540</v>
      </c>
      <c r="B1713" t="str">
        <f>T("Appareils d'éclairage électrique, n.d.a.")</f>
        <v>Appareils d'éclairage électrique, n.d.a.</v>
      </c>
    </row>
    <row r="1714" spans="1:4" x14ac:dyDescent="0.25">
      <c r="A1714" t="str">
        <f>T("   ZZZ_Monde")</f>
        <v xml:space="preserve">   ZZZ_Monde</v>
      </c>
      <c r="B1714" t="str">
        <f>T("   ZZZ_Monde")</f>
        <v xml:space="preserve">   ZZZ_Monde</v>
      </c>
      <c r="C1714">
        <v>129737</v>
      </c>
      <c r="D1714">
        <v>25</v>
      </c>
    </row>
    <row r="1715" spans="1:4" x14ac:dyDescent="0.25">
      <c r="A1715" t="str">
        <f>T("   GB")</f>
        <v xml:space="preserve">   GB</v>
      </c>
      <c r="B1715" t="str">
        <f>T("   Royaume-Uni")</f>
        <v xml:space="preserve">   Royaume-Uni</v>
      </c>
      <c r="C1715">
        <v>129737</v>
      </c>
      <c r="D1715">
        <v>25</v>
      </c>
    </row>
    <row r="1716" spans="1:4" x14ac:dyDescent="0.25">
      <c r="A1716" t="str">
        <f>T("940591")</f>
        <v>940591</v>
      </c>
      <c r="B1716" t="str">
        <f>T("Parties en verres d'appareils d'éclairage, de lampes-réclames, d'enseignes lumineuses, de plaques indicatrices lumineuses, et simil., n.d.a.")</f>
        <v>Parties en verres d'appareils d'éclairage, de lampes-réclames, d'enseignes lumineuses, de plaques indicatrices lumineuses, et simil., n.d.a.</v>
      </c>
    </row>
    <row r="1717" spans="1:4" x14ac:dyDescent="0.25">
      <c r="A1717" t="str">
        <f>T("   ZZZ_Monde")</f>
        <v xml:space="preserve">   ZZZ_Monde</v>
      </c>
      <c r="B1717" t="str">
        <f>T("   ZZZ_Monde")</f>
        <v xml:space="preserve">   ZZZ_Monde</v>
      </c>
      <c r="C1717">
        <v>419670</v>
      </c>
      <c r="D1717">
        <v>116</v>
      </c>
    </row>
    <row r="1718" spans="1:4" x14ac:dyDescent="0.25">
      <c r="A1718" t="str">
        <f>T("   NE")</f>
        <v xml:space="preserve">   NE</v>
      </c>
      <c r="B1718" t="str">
        <f>T("   Niger")</f>
        <v xml:space="preserve">   Niger</v>
      </c>
      <c r="C1718">
        <v>419670</v>
      </c>
      <c r="D1718">
        <v>116</v>
      </c>
    </row>
    <row r="1719" spans="1:4" x14ac:dyDescent="0.25">
      <c r="A1719" t="str">
        <f>T("940600")</f>
        <v>940600</v>
      </c>
      <c r="B1719" t="str">
        <f>T("Constructions préfabriquées, même incomplètes ou non encore montées")</f>
        <v>Constructions préfabriquées, même incomplètes ou non encore montées</v>
      </c>
    </row>
    <row r="1720" spans="1:4" x14ac:dyDescent="0.25">
      <c r="A1720" t="str">
        <f>T("   ZZZ_Monde")</f>
        <v xml:space="preserve">   ZZZ_Monde</v>
      </c>
      <c r="B1720" t="str">
        <f>T("   ZZZ_Monde")</f>
        <v xml:space="preserve">   ZZZ_Monde</v>
      </c>
      <c r="C1720">
        <v>186756</v>
      </c>
      <c r="D1720">
        <v>166</v>
      </c>
    </row>
    <row r="1721" spans="1:4" x14ac:dyDescent="0.25">
      <c r="A1721" t="str">
        <f>T("   CI")</f>
        <v xml:space="preserve">   CI</v>
      </c>
      <c r="B1721" t="str">
        <f>T("   Côte d'Ivoire")</f>
        <v xml:space="preserve">   Côte d'Ivoire</v>
      </c>
      <c r="C1721">
        <v>186756</v>
      </c>
      <c r="D1721">
        <v>166</v>
      </c>
    </row>
    <row r="1722" spans="1:4" x14ac:dyDescent="0.25">
      <c r="A1722" t="str">
        <f>T("950590")</f>
        <v>950590</v>
      </c>
      <c r="B1722" t="str">
        <f>T("Articles pour fêtes, carnaval ou autres divertissements, y.c. les articles de magie et articles-surprises, n.d.a.")</f>
        <v>Articles pour fêtes, carnaval ou autres divertissements, y.c. les articles de magie et articles-surprises, n.d.a.</v>
      </c>
    </row>
    <row r="1723" spans="1:4" x14ac:dyDescent="0.25">
      <c r="A1723" t="str">
        <f>T("   ZZZ_Monde")</f>
        <v xml:space="preserve">   ZZZ_Monde</v>
      </c>
      <c r="B1723" t="str">
        <f>T("   ZZZ_Monde")</f>
        <v xml:space="preserve">   ZZZ_Monde</v>
      </c>
      <c r="C1723">
        <v>30000</v>
      </c>
      <c r="D1723">
        <v>25</v>
      </c>
    </row>
    <row r="1724" spans="1:4" x14ac:dyDescent="0.25">
      <c r="A1724" t="str">
        <f>T("   GQ")</f>
        <v xml:space="preserve">   GQ</v>
      </c>
      <c r="B1724" t="str">
        <f>T("   Guinée Equatoriale")</f>
        <v xml:space="preserve">   Guinée Equatoriale</v>
      </c>
      <c r="C1724">
        <v>30000</v>
      </c>
      <c r="D1724">
        <v>25</v>
      </c>
    </row>
    <row r="1725" spans="1:4" x14ac:dyDescent="0.25">
      <c r="A1725" t="str">
        <f>T("960329")</f>
        <v>960329</v>
      </c>
      <c r="B1725" t="str">
        <f>T("Brosses et pinceaux à barbe, à cheveux, à cils ou à ongles et autres brosses pour la toilette des personnes, sauf brosses à dent")</f>
        <v>Brosses et pinceaux à barbe, à cheveux, à cils ou à ongles et autres brosses pour la toilette des personnes, sauf brosses à dent</v>
      </c>
    </row>
    <row r="1726" spans="1:4" x14ac:dyDescent="0.25">
      <c r="A1726" t="str">
        <f>T("   ZZZ_Monde")</f>
        <v xml:space="preserve">   ZZZ_Monde</v>
      </c>
      <c r="B1726" t="str">
        <f>T("   ZZZ_Monde")</f>
        <v xml:space="preserve">   ZZZ_Monde</v>
      </c>
      <c r="C1726">
        <v>150000</v>
      </c>
      <c r="D1726">
        <v>120</v>
      </c>
    </row>
    <row r="1727" spans="1:4" x14ac:dyDescent="0.25">
      <c r="A1727" t="str">
        <f>T("   TG")</f>
        <v xml:space="preserve">   TG</v>
      </c>
      <c r="B1727" t="str">
        <f>T("   Togo")</f>
        <v xml:space="preserve">   Togo</v>
      </c>
      <c r="C1727">
        <v>150000</v>
      </c>
      <c r="D1727">
        <v>120</v>
      </c>
    </row>
    <row r="1728" spans="1:4" x14ac:dyDescent="0.25">
      <c r="A1728" t="str">
        <f>T("970110")</f>
        <v>970110</v>
      </c>
      <c r="B1728" t="str">
        <f>T("Tableaux, p.ex. peintures à l'huile, aquarelles et pastels, et dessins, faits entièrement à la main (à l'excl. des dessins du n° 4906 et des articles manufacturés décorés à la main)")</f>
        <v>Tableaux, p.ex. peintures à l'huile, aquarelles et pastels, et dessins, faits entièrement à la main (à l'excl. des dessins du n° 4906 et des articles manufacturés décorés à la main)</v>
      </c>
    </row>
    <row r="1729" spans="1:4" x14ac:dyDescent="0.25">
      <c r="A1729" t="str">
        <f>T("   ZZZ_Monde")</f>
        <v xml:space="preserve">   ZZZ_Monde</v>
      </c>
      <c r="B1729" t="str">
        <f>T("   ZZZ_Monde")</f>
        <v xml:space="preserve">   ZZZ_Monde</v>
      </c>
      <c r="C1729">
        <v>500000</v>
      </c>
      <c r="D1729">
        <v>175</v>
      </c>
    </row>
    <row r="1730" spans="1:4" x14ac:dyDescent="0.25">
      <c r="A1730" t="str">
        <f>T("   TG")</f>
        <v xml:space="preserve">   TG</v>
      </c>
      <c r="B1730" t="str">
        <f>T("   Togo")</f>
        <v xml:space="preserve">   Togo</v>
      </c>
      <c r="C1730">
        <v>500000</v>
      </c>
      <c r="D1730">
        <v>175</v>
      </c>
    </row>
    <row r="1731" spans="1:4" x14ac:dyDescent="0.25">
      <c r="A1731" t="str">
        <f>T("970300")</f>
        <v>970300</v>
      </c>
      <c r="B1731" t="str">
        <f>T("Productions originales de l'art statuaire ou de la sculpture, en toutes matières")</f>
        <v>Productions originales de l'art statuaire ou de la sculpture, en toutes matières</v>
      </c>
    </row>
    <row r="1732" spans="1:4" x14ac:dyDescent="0.25">
      <c r="A1732" t="str">
        <f>T("   ZZZ_Monde")</f>
        <v xml:space="preserve">   ZZZ_Monde</v>
      </c>
      <c r="B1732" t="str">
        <f>T("   ZZZ_Monde")</f>
        <v xml:space="preserve">   ZZZ_Monde</v>
      </c>
      <c r="C1732">
        <v>6552261</v>
      </c>
      <c r="D1732">
        <v>446</v>
      </c>
    </row>
    <row r="1733" spans="1:4" x14ac:dyDescent="0.25">
      <c r="A1733" t="str">
        <f>T("   CH")</f>
        <v xml:space="preserve">   CH</v>
      </c>
      <c r="B1733" t="str">
        <f>T("   Suisse")</f>
        <v xml:space="preserve">   Suisse</v>
      </c>
      <c r="C1733">
        <v>1958041</v>
      </c>
      <c r="D1733">
        <v>113</v>
      </c>
    </row>
    <row r="1734" spans="1:4" x14ac:dyDescent="0.25">
      <c r="A1734" t="str">
        <f>T("   FR")</f>
        <v xml:space="preserve">   FR</v>
      </c>
      <c r="B1734" t="str">
        <f>T("   France")</f>
        <v xml:space="preserve">   France</v>
      </c>
      <c r="C1734">
        <v>2600000</v>
      </c>
      <c r="D1734">
        <v>150</v>
      </c>
    </row>
    <row r="1735" spans="1:4" x14ac:dyDescent="0.25">
      <c r="A1735" t="str">
        <f>T("   GH")</f>
        <v xml:space="preserve">   GH</v>
      </c>
      <c r="B1735" t="str">
        <f>T("   Ghana")</f>
        <v xml:space="preserve">   Ghana</v>
      </c>
      <c r="C1735">
        <v>327980</v>
      </c>
      <c r="D1735">
        <v>23</v>
      </c>
    </row>
    <row r="1736" spans="1:4" x14ac:dyDescent="0.25">
      <c r="A1736" t="str">
        <f>T("   IT")</f>
        <v xml:space="preserve">   IT</v>
      </c>
      <c r="B1736" t="str">
        <f>T("   Italie")</f>
        <v xml:space="preserve">   Italie</v>
      </c>
      <c r="C1736">
        <v>1666240</v>
      </c>
      <c r="D1736">
        <v>160</v>
      </c>
    </row>
    <row r="1737" spans="1:4" x14ac:dyDescent="0.25">
      <c r="A1737" t="str">
        <f>T("970500")</f>
        <v>970500</v>
      </c>
      <c r="B1737" t="str">
        <f>T("Collections et spécimens pour collections de zoologie, de botanique, de minéralogie, d'anatomie, ou présentant un intérêt historique, archéologique, paléontologique, ethnographique ou numismatique")</f>
        <v>Collections et spécimens pour collections de zoologie, de botanique, de minéralogie, d'anatomie, ou présentant un intérêt historique, archéologique, paléontologique, ethnographique ou numismatique</v>
      </c>
    </row>
    <row r="1738" spans="1:4" x14ac:dyDescent="0.25">
      <c r="A1738" t="str">
        <f>T("   ZZZ_Monde")</f>
        <v xml:space="preserve">   ZZZ_Monde</v>
      </c>
      <c r="B1738" t="str">
        <f>T("   ZZZ_Monde")</f>
        <v xml:space="preserve">   ZZZ_Monde</v>
      </c>
      <c r="C1738">
        <v>450000</v>
      </c>
      <c r="D1738">
        <v>80</v>
      </c>
    </row>
    <row r="1739" spans="1:4" x14ac:dyDescent="0.25">
      <c r="A1739" t="str">
        <f>T("   FR")</f>
        <v xml:space="preserve">   FR</v>
      </c>
      <c r="B1739" t="str">
        <f>T("   France")</f>
        <v xml:space="preserve">   France</v>
      </c>
      <c r="C1739">
        <v>450000</v>
      </c>
      <c r="D1739">
        <v>80</v>
      </c>
    </row>
    <row r="1740" spans="1:4" s="1" customFormat="1" x14ac:dyDescent="0.25">
      <c r="A1740" s="1" t="str">
        <f>T("   ZZZ_Monde")</f>
        <v xml:space="preserve">   ZZZ_Monde</v>
      </c>
      <c r="B1740" s="1" t="str">
        <f>T("   ZZZ_Monde")</f>
        <v xml:space="preserve">   ZZZ_Monde</v>
      </c>
      <c r="C1740" s="1">
        <v>189281501840</v>
      </c>
      <c r="D1740" s="1">
        <v>766867329.38</v>
      </c>
    </row>
    <row r="1742" spans="1:4" x14ac:dyDescent="0.25">
      <c r="A1742" t="s">
        <v>29</v>
      </c>
    </row>
  </sheetData>
  <pageMargins left="0.7" right="0.7" top="0.75" bottom="0.75" header="0.3" footer="0.3"/>
</worksheet>
</file>